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2 Annual Update\Filed Documents 5-27-22\"/>
    </mc:Choice>
  </mc:AlternateContent>
  <xr:revisionPtr revIDLastSave="0" documentId="13_ncr:1_{0CDA44A6-1EA2-44DD-AA9D-268FC33504A6}" xr6:coauthVersionLast="47" xr6:coauthVersionMax="47" xr10:uidLastSave="{00000000-0000-0000-0000-000000000000}"/>
  <bookViews>
    <workbookView xWindow="-120" yWindow="-120" windowWidth="24240" windowHeight="13140" tabRatio="887" firstSheet="12" activeTab="31" xr2:uid="{00000000-000D-0000-FFFF-FFFF00000000}"/>
  </bookViews>
  <sheets>
    <sheet name="PSO.Sch.11.Rates" sheetId="17" r:id="rId1"/>
    <sheet name="PSO.WS.F.BPU.ATRR.Projected" sheetId="1" r:id="rId2"/>
    <sheet name="PSO.WS.G.BPU.ATRR.True-up" sheetId="2" r:id="rId3"/>
    <sheet name="P.001" sheetId="3" r:id="rId4"/>
    <sheet name="P.002" sheetId="4" r:id="rId5"/>
    <sheet name="P.003" sheetId="5" r:id="rId6"/>
    <sheet name="P.004" sheetId="6" r:id="rId7"/>
    <sheet name="P.005" sheetId="7" r:id="rId8"/>
    <sheet name="P.006" sheetId="8" r:id="rId9"/>
    <sheet name="P.007" sheetId="9" r:id="rId10"/>
    <sheet name="P.008" sheetId="10" r:id="rId11"/>
    <sheet name="P.009" sheetId="11" r:id="rId12"/>
    <sheet name="P.010" sheetId="22" r:id="rId13"/>
    <sheet name="P.011" sheetId="23" r:id="rId14"/>
    <sheet name="P.012" sheetId="24" r:id="rId15"/>
    <sheet name="P.013" sheetId="25" r:id="rId16"/>
    <sheet name="P.014" sheetId="27" r:id="rId17"/>
    <sheet name="P.015" sheetId="28" r:id="rId18"/>
    <sheet name="P.016" sheetId="29" r:id="rId19"/>
    <sheet name="P.017" sheetId="30" r:id="rId20"/>
    <sheet name="P.018" sheetId="31" r:id="rId21"/>
    <sheet name="P.019" sheetId="37" r:id="rId22"/>
    <sheet name="P.020" sheetId="38" r:id="rId23"/>
    <sheet name="P.021" sheetId="39" r:id="rId24"/>
    <sheet name="P.022" sheetId="40" r:id="rId25"/>
    <sheet name="P.023" sheetId="41" r:id="rId26"/>
    <sheet name="P.024" sheetId="42" r:id="rId27"/>
    <sheet name="P.025" sheetId="43" r:id="rId28"/>
    <sheet name="P.026" sheetId="44" r:id="rId29"/>
    <sheet name="P.027" sheetId="45" r:id="rId30"/>
    <sheet name="P.028" sheetId="46" r:id="rId31"/>
    <sheet name="P.029" sheetId="47" r:id="rId32"/>
    <sheet name="P.xyz - blank" sheetId="13" r:id="rId33"/>
  </sheets>
  <externalReferences>
    <externalReference r:id="rId34"/>
  </externalReferences>
  <definedNames>
    <definedName name="_NPh1">#REF!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'[1]SWP TCOS 2008 13 Month'!$I$317:$J$328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P_h1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3">P.001!$A$1:$P$165</definedName>
    <definedName name="_xlnm.Print_Area" localSheetId="4">P.002!$A$1:$P$165</definedName>
    <definedName name="_xlnm.Print_Area" localSheetId="5">P.003!$A$1:$P$165</definedName>
    <definedName name="_xlnm.Print_Area" localSheetId="6">P.004!$A$1:$P$165</definedName>
    <definedName name="_xlnm.Print_Area" localSheetId="7">P.005!$A$1:$P$165</definedName>
    <definedName name="_xlnm.Print_Area" localSheetId="8">P.006!$A$1:$P$165</definedName>
    <definedName name="_xlnm.Print_Area" localSheetId="9">P.007!$A$1:$P$165</definedName>
    <definedName name="_xlnm.Print_Area" localSheetId="10">P.008!$A$1:$P$165</definedName>
    <definedName name="_xlnm.Print_Area" localSheetId="11">P.009!$A$1:$P$165</definedName>
    <definedName name="_xlnm.Print_Area" localSheetId="12">P.010!$A$1:$P$165</definedName>
    <definedName name="_xlnm.Print_Area" localSheetId="13">P.011!$A$1:$P$165</definedName>
    <definedName name="_xlnm.Print_Area" localSheetId="14">P.012!$A$1:$P$165</definedName>
    <definedName name="_xlnm.Print_Area" localSheetId="15">P.013!$A$1:$P$165</definedName>
    <definedName name="_xlnm.Print_Area" localSheetId="16">P.014!$A$1:$P$165</definedName>
    <definedName name="_xlnm.Print_Area" localSheetId="17">P.015!$A$1:$P$165</definedName>
    <definedName name="_xlnm.Print_Area" localSheetId="18">P.016!$A$1:$P$165</definedName>
    <definedName name="_xlnm.Print_Area" localSheetId="19">P.017!$A$1:$P$165</definedName>
    <definedName name="_xlnm.Print_Area" localSheetId="20">P.018!$A$1:$P$165</definedName>
    <definedName name="_xlnm.Print_Area" localSheetId="21">P.019!$A$1:$P$165</definedName>
    <definedName name="_xlnm.Print_Area" localSheetId="22">P.020!$A$1:$P$165</definedName>
    <definedName name="_xlnm.Print_Area" localSheetId="23">P.021!$A$1:$P$165</definedName>
    <definedName name="_xlnm.Print_Area" localSheetId="24">P.022!$A$1:$P$165</definedName>
    <definedName name="_xlnm.Print_Area" localSheetId="32">'P.xyz - blank'!$A$1:$P$165</definedName>
    <definedName name="_xlnm.Print_Area" localSheetId="0">'PSO.Sch.11.Rates'!$A$1:$V$50</definedName>
    <definedName name="_xlnm.Print_Area" localSheetId="1">'PSO.WS.F.BPU.ATRR.Projected'!$A$1:$O$93</definedName>
    <definedName name="_xlnm.Print_Area" localSheetId="2">'PSO.WS.G.BPU.ATRR.True-up'!$A$1:$P$96</definedName>
    <definedName name="_xlnm.Print_Titles" localSheetId="5">P.003!#REF!</definedName>
    <definedName name="_xlnm.Print_Titles" localSheetId="6">P.004!#REF!</definedName>
    <definedName name="_xlnm.Print_Titles" localSheetId="7">P.005!#REF!</definedName>
    <definedName name="_xlnm.Print_Titles" localSheetId="8">P.006!#REF!</definedName>
    <definedName name="_xlnm.Print_Titles" localSheetId="9">P.007!#REF!</definedName>
    <definedName name="_xlnm.Print_Titles" localSheetId="10">P.008!#REF!</definedName>
    <definedName name="_xlnm.Print_Titles" localSheetId="11">P.009!#REF!</definedName>
    <definedName name="_xlnm.Print_Titles" localSheetId="12">P.010!#REF!</definedName>
    <definedName name="_xlnm.Print_Titles" localSheetId="13">P.011!#REF!</definedName>
    <definedName name="_xlnm.Print_Titles" localSheetId="14">P.012!#REF!</definedName>
    <definedName name="_xlnm.Print_Titles" localSheetId="15">P.013!#REF!</definedName>
    <definedName name="_xlnm.Print_Titles" localSheetId="16">P.014!#REF!</definedName>
    <definedName name="_xlnm.Print_Titles" localSheetId="17">P.015!#REF!</definedName>
    <definedName name="_xlnm.Print_Titles" localSheetId="18">P.016!#REF!</definedName>
    <definedName name="_xlnm.Print_Titles" localSheetId="19">P.017!#REF!</definedName>
    <definedName name="_xlnm.Print_Titles" localSheetId="20">P.018!#REF!</definedName>
    <definedName name="_xlnm.Print_Titles" localSheetId="21">P.019!#REF!</definedName>
    <definedName name="_xlnm.Print_Titles" localSheetId="22">P.020!#REF!</definedName>
    <definedName name="_xlnm.Print_Titles" localSheetId="23">P.021!#REF!</definedName>
    <definedName name="_xlnm.Print_Titles" localSheetId="24">P.022!#REF!</definedName>
    <definedName name="_xlnm.Print_Titles" localSheetId="32">'P.xyz - blank'!#REF!</definedName>
    <definedName name="_xlnm.Print_Titles" localSheetId="1">'PSO.WS.F.BPU.ATRR.Projected'!$1:$6</definedName>
    <definedName name="_xlnm.Print_Titles" localSheetId="2">'PSO.WS.G.BPU.ATRR.True-up'!$1:$5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allocatorsP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allocatorsH">#REF!</definedName>
    <definedName name="SWPallocatorsP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6" i="17" l="1"/>
  <c r="P154" i="47"/>
  <c r="O154" i="47"/>
  <c r="M154" i="47"/>
  <c r="J154" i="47"/>
  <c r="P153" i="47"/>
  <c r="O153" i="47"/>
  <c r="M153" i="47"/>
  <c r="J153" i="47"/>
  <c r="P152" i="47"/>
  <c r="O152" i="47"/>
  <c r="M152" i="47"/>
  <c r="J152" i="47"/>
  <c r="P151" i="47"/>
  <c r="O151" i="47"/>
  <c r="M151" i="47"/>
  <c r="J151" i="47"/>
  <c r="P150" i="47"/>
  <c r="O150" i="47"/>
  <c r="M150" i="47"/>
  <c r="J150" i="47"/>
  <c r="P149" i="47"/>
  <c r="O149" i="47"/>
  <c r="M149" i="47"/>
  <c r="J149" i="47"/>
  <c r="P148" i="47"/>
  <c r="O148" i="47"/>
  <c r="M148" i="47"/>
  <c r="J148" i="47"/>
  <c r="P147" i="47"/>
  <c r="O147" i="47"/>
  <c r="M147" i="47"/>
  <c r="J147" i="47"/>
  <c r="P146" i="47"/>
  <c r="O146" i="47"/>
  <c r="M146" i="47"/>
  <c r="J146" i="47"/>
  <c r="P145" i="47"/>
  <c r="O145" i="47"/>
  <c r="M145" i="47"/>
  <c r="J145" i="47"/>
  <c r="P144" i="47"/>
  <c r="O144" i="47"/>
  <c r="M144" i="47"/>
  <c r="J144" i="47"/>
  <c r="P143" i="47"/>
  <c r="O143" i="47"/>
  <c r="M143" i="47"/>
  <c r="J143" i="47"/>
  <c r="P142" i="47"/>
  <c r="O142" i="47"/>
  <c r="M142" i="47"/>
  <c r="J142" i="47"/>
  <c r="P141" i="47"/>
  <c r="O141" i="47"/>
  <c r="M141" i="47"/>
  <c r="J141" i="47"/>
  <c r="P140" i="47"/>
  <c r="O140" i="47"/>
  <c r="M140" i="47"/>
  <c r="J140" i="47"/>
  <c r="P139" i="47"/>
  <c r="O139" i="47"/>
  <c r="M139" i="47"/>
  <c r="J139" i="47"/>
  <c r="P138" i="47"/>
  <c r="O138" i="47"/>
  <c r="M138" i="47"/>
  <c r="J138" i="47"/>
  <c r="P137" i="47"/>
  <c r="O137" i="47"/>
  <c r="M137" i="47"/>
  <c r="J137" i="47"/>
  <c r="P136" i="47"/>
  <c r="O136" i="47"/>
  <c r="M136" i="47"/>
  <c r="J136" i="47"/>
  <c r="P135" i="47"/>
  <c r="O135" i="47"/>
  <c r="M135" i="47"/>
  <c r="J135" i="47"/>
  <c r="P134" i="47"/>
  <c r="O134" i="47"/>
  <c r="M134" i="47"/>
  <c r="J134" i="47"/>
  <c r="P133" i="47"/>
  <c r="O133" i="47"/>
  <c r="M133" i="47"/>
  <c r="J133" i="47"/>
  <c r="P132" i="47"/>
  <c r="O132" i="47"/>
  <c r="M132" i="47"/>
  <c r="J132" i="47"/>
  <c r="P131" i="47"/>
  <c r="O131" i="47"/>
  <c r="M131" i="47"/>
  <c r="J131" i="47"/>
  <c r="O130" i="47"/>
  <c r="M130" i="47"/>
  <c r="O129" i="47"/>
  <c r="M129" i="47"/>
  <c r="O128" i="47"/>
  <c r="M128" i="47"/>
  <c r="O127" i="47"/>
  <c r="M127" i="47"/>
  <c r="O126" i="47"/>
  <c r="M126" i="47"/>
  <c r="O125" i="47"/>
  <c r="M125" i="47"/>
  <c r="O124" i="47"/>
  <c r="M124" i="47"/>
  <c r="O123" i="47"/>
  <c r="M123" i="47"/>
  <c r="O122" i="47"/>
  <c r="M122" i="47"/>
  <c r="O121" i="47"/>
  <c r="M121" i="47"/>
  <c r="O120" i="47"/>
  <c r="M120" i="47"/>
  <c r="O119" i="47"/>
  <c r="M119" i="47"/>
  <c r="O118" i="47"/>
  <c r="M118" i="47"/>
  <c r="O117" i="47"/>
  <c r="M117" i="47"/>
  <c r="O116" i="47"/>
  <c r="M116" i="47"/>
  <c r="O115" i="47"/>
  <c r="M115" i="47"/>
  <c r="O114" i="47"/>
  <c r="M114" i="47"/>
  <c r="O113" i="47"/>
  <c r="M113" i="47"/>
  <c r="O112" i="47"/>
  <c r="M112" i="47"/>
  <c r="O111" i="47"/>
  <c r="M111" i="47"/>
  <c r="O110" i="47"/>
  <c r="M110" i="47"/>
  <c r="O109" i="47"/>
  <c r="M109" i="47"/>
  <c r="O108" i="47"/>
  <c r="M108" i="47"/>
  <c r="O107" i="47"/>
  <c r="M107" i="47"/>
  <c r="O106" i="47"/>
  <c r="M106" i="47"/>
  <c r="O105" i="47"/>
  <c r="M105" i="47"/>
  <c r="O104" i="47"/>
  <c r="M104" i="47"/>
  <c r="O103" i="47"/>
  <c r="M103" i="47"/>
  <c r="O102" i="47"/>
  <c r="M102" i="47"/>
  <c r="P102" i="47" s="1"/>
  <c r="O101" i="47"/>
  <c r="M101" i="47"/>
  <c r="O100" i="47"/>
  <c r="M100" i="47"/>
  <c r="O99" i="47"/>
  <c r="M99" i="47"/>
  <c r="C99" i="47"/>
  <c r="C100" i="47" s="1"/>
  <c r="C101" i="47" s="1"/>
  <c r="C102" i="47" s="1"/>
  <c r="C103" i="47" s="1"/>
  <c r="C104" i="47" s="1"/>
  <c r="C105" i="47" s="1"/>
  <c r="C106" i="47" s="1"/>
  <c r="C107" i="47" s="1"/>
  <c r="C108" i="47" s="1"/>
  <c r="C109" i="47" s="1"/>
  <c r="C110" i="47" s="1"/>
  <c r="C111" i="47" s="1"/>
  <c r="C112" i="47" s="1"/>
  <c r="C113" i="47" s="1"/>
  <c r="C114" i="47" s="1"/>
  <c r="C115" i="47" s="1"/>
  <c r="C116" i="47" s="1"/>
  <c r="C117" i="47" s="1"/>
  <c r="C118" i="47" s="1"/>
  <c r="C119" i="47" s="1"/>
  <c r="C120" i="47" s="1"/>
  <c r="C121" i="47" s="1"/>
  <c r="C122" i="47" s="1"/>
  <c r="C123" i="47" s="1"/>
  <c r="C124" i="47" s="1"/>
  <c r="C125" i="47" s="1"/>
  <c r="C126" i="47" s="1"/>
  <c r="D96" i="47"/>
  <c r="L93" i="47"/>
  <c r="J93" i="47"/>
  <c r="D91" i="47"/>
  <c r="D89" i="47"/>
  <c r="N72" i="47"/>
  <c r="L72" i="47"/>
  <c r="N71" i="47"/>
  <c r="L71" i="47"/>
  <c r="N70" i="47"/>
  <c r="L70" i="47"/>
  <c r="N69" i="47"/>
  <c r="L69" i="47"/>
  <c r="N68" i="47"/>
  <c r="L68" i="47"/>
  <c r="N67" i="47"/>
  <c r="L67" i="47"/>
  <c r="N66" i="47"/>
  <c r="L66" i="47"/>
  <c r="N65" i="47"/>
  <c r="L65" i="47"/>
  <c r="N64" i="47"/>
  <c r="L64" i="47"/>
  <c r="N63" i="47"/>
  <c r="L63" i="47"/>
  <c r="N62" i="47"/>
  <c r="L62" i="47"/>
  <c r="N61" i="47"/>
  <c r="L61" i="47"/>
  <c r="N60" i="47"/>
  <c r="L60" i="47"/>
  <c r="N59" i="47"/>
  <c r="L59" i="47"/>
  <c r="N58" i="47"/>
  <c r="L58" i="47"/>
  <c r="N57" i="47"/>
  <c r="L57" i="47"/>
  <c r="N56" i="47"/>
  <c r="L56" i="47"/>
  <c r="N55" i="47"/>
  <c r="L55" i="47"/>
  <c r="N54" i="47"/>
  <c r="L54" i="47"/>
  <c r="N53" i="47"/>
  <c r="L53" i="47"/>
  <c r="N52" i="47"/>
  <c r="L52" i="47"/>
  <c r="N51" i="47"/>
  <c r="L51" i="47"/>
  <c r="N50" i="47"/>
  <c r="L50" i="47"/>
  <c r="N49" i="47"/>
  <c r="L49" i="47"/>
  <c r="N48" i="47"/>
  <c r="L48" i="47"/>
  <c r="N47" i="47"/>
  <c r="L47" i="47"/>
  <c r="N46" i="47"/>
  <c r="L46" i="47"/>
  <c r="N45" i="47"/>
  <c r="L45" i="47"/>
  <c r="N44" i="47"/>
  <c r="L44" i="47"/>
  <c r="N43" i="47"/>
  <c r="L43" i="47"/>
  <c r="N42" i="47"/>
  <c r="L42" i="47"/>
  <c r="N41" i="47"/>
  <c r="L41" i="47"/>
  <c r="N40" i="47"/>
  <c r="L40" i="47"/>
  <c r="N39" i="47"/>
  <c r="L39" i="47"/>
  <c r="N38" i="47"/>
  <c r="L38" i="47"/>
  <c r="N37" i="47"/>
  <c r="L37" i="47"/>
  <c r="N36" i="47"/>
  <c r="O36" i="47" s="1"/>
  <c r="L36" i="47"/>
  <c r="N35" i="47"/>
  <c r="L35" i="47"/>
  <c r="N34" i="47"/>
  <c r="L34" i="47"/>
  <c r="N33" i="47"/>
  <c r="L33" i="47"/>
  <c r="N32" i="47"/>
  <c r="O32" i="47" s="1"/>
  <c r="L32" i="47"/>
  <c r="N31" i="47"/>
  <c r="L31" i="47"/>
  <c r="N30" i="47"/>
  <c r="L30" i="47"/>
  <c r="N29" i="47"/>
  <c r="L29" i="47"/>
  <c r="N28" i="47"/>
  <c r="L28" i="47"/>
  <c r="N27" i="47"/>
  <c r="L27" i="47"/>
  <c r="N26" i="47"/>
  <c r="L26" i="47"/>
  <c r="N25" i="47"/>
  <c r="L25" i="47"/>
  <c r="N24" i="47"/>
  <c r="L24" i="47"/>
  <c r="N23" i="47"/>
  <c r="L23" i="47"/>
  <c r="N22" i="47"/>
  <c r="L22" i="47"/>
  <c r="N21" i="47"/>
  <c r="L21" i="47"/>
  <c r="N20" i="47"/>
  <c r="O20" i="47" s="1"/>
  <c r="L20" i="47"/>
  <c r="N19" i="47"/>
  <c r="L19" i="47"/>
  <c r="N18" i="47"/>
  <c r="L18" i="47"/>
  <c r="N17" i="47"/>
  <c r="L17" i="47"/>
  <c r="C17" i="47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33" i="47" s="1"/>
  <c r="C34" i="47" s="1"/>
  <c r="C35" i="47" s="1"/>
  <c r="C36" i="47" s="1"/>
  <c r="C37" i="47" s="1"/>
  <c r="C38" i="47" s="1"/>
  <c r="C39" i="47" s="1"/>
  <c r="C40" i="47" s="1"/>
  <c r="C41" i="47" s="1"/>
  <c r="C42" i="47" s="1"/>
  <c r="C43" i="47" s="1"/>
  <c r="C44" i="47" s="1"/>
  <c r="I14" i="47"/>
  <c r="E17" i="47" s="1"/>
  <c r="K11" i="47"/>
  <c r="I11" i="47"/>
  <c r="D90" i="47"/>
  <c r="P1" i="47"/>
  <c r="P83" i="47" s="1"/>
  <c r="O62" i="47" l="1"/>
  <c r="O31" i="47"/>
  <c r="O39" i="47"/>
  <c r="P104" i="47"/>
  <c r="P99" i="47"/>
  <c r="P106" i="47"/>
  <c r="P118" i="47"/>
  <c r="P109" i="47"/>
  <c r="P117" i="47"/>
  <c r="O56" i="47"/>
  <c r="O23" i="47"/>
  <c r="O43" i="47"/>
  <c r="O59" i="47"/>
  <c r="O63" i="47"/>
  <c r="O65" i="47"/>
  <c r="O69" i="47"/>
  <c r="O68" i="47"/>
  <c r="O70" i="47"/>
  <c r="P105" i="47"/>
  <c r="P115" i="47"/>
  <c r="P122" i="47"/>
  <c r="P126" i="47"/>
  <c r="P128" i="47"/>
  <c r="P101" i="47"/>
  <c r="O19" i="47"/>
  <c r="O40" i="47"/>
  <c r="O44" i="47"/>
  <c r="O48" i="47"/>
  <c r="P110" i="47"/>
  <c r="P114" i="47"/>
  <c r="P107" i="47"/>
  <c r="P113" i="47"/>
  <c r="O24" i="47"/>
  <c r="O27" i="47"/>
  <c r="O47" i="47"/>
  <c r="O51" i="47"/>
  <c r="O55" i="47"/>
  <c r="O72" i="47"/>
  <c r="P100" i="47"/>
  <c r="P103" i="47"/>
  <c r="P108" i="47"/>
  <c r="P111" i="47"/>
  <c r="P116" i="47"/>
  <c r="O28" i="47"/>
  <c r="O52" i="47"/>
  <c r="O66" i="47"/>
  <c r="P112" i="47"/>
  <c r="O35" i="47"/>
  <c r="O64" i="47"/>
  <c r="O61" i="47"/>
  <c r="C127" i="47"/>
  <c r="C128" i="47" s="1"/>
  <c r="C129" i="47" s="1"/>
  <c r="C130" i="47" s="1"/>
  <c r="C131" i="47" s="1"/>
  <c r="C132" i="47" s="1"/>
  <c r="C133" i="47" s="1"/>
  <c r="C134" i="47" s="1"/>
  <c r="C135" i="47" s="1"/>
  <c r="C136" i="47" s="1"/>
  <c r="C137" i="47" s="1"/>
  <c r="C138" i="47" s="1"/>
  <c r="C139" i="47" s="1"/>
  <c r="C140" i="47" s="1"/>
  <c r="C141" i="47" s="1"/>
  <c r="C142" i="47" s="1"/>
  <c r="C143" i="47" s="1"/>
  <c r="C144" i="47" s="1"/>
  <c r="C145" i="47" s="1"/>
  <c r="C146" i="47" s="1"/>
  <c r="C147" i="47" s="1"/>
  <c r="C148" i="47" s="1"/>
  <c r="C149" i="47" s="1"/>
  <c r="C150" i="47" s="1"/>
  <c r="C151" i="47" s="1"/>
  <c r="C152" i="47" s="1"/>
  <c r="C153" i="47" s="1"/>
  <c r="C154" i="47" s="1"/>
  <c r="C45" i="47"/>
  <c r="C46" i="47" s="1"/>
  <c r="C47" i="47" s="1"/>
  <c r="C48" i="47" s="1"/>
  <c r="C49" i="47" s="1"/>
  <c r="C50" i="47" s="1"/>
  <c r="C51" i="47" s="1"/>
  <c r="C52" i="47" s="1"/>
  <c r="C53" i="47" s="1"/>
  <c r="C54" i="47" s="1"/>
  <c r="C55" i="47" s="1"/>
  <c r="C56" i="47" s="1"/>
  <c r="C57" i="47" s="1"/>
  <c r="C58" i="47" s="1"/>
  <c r="C59" i="47" s="1"/>
  <c r="C60" i="47" s="1"/>
  <c r="C61" i="47" s="1"/>
  <c r="C62" i="47" s="1"/>
  <c r="C63" i="47" s="1"/>
  <c r="C64" i="47" s="1"/>
  <c r="C65" i="47" s="1"/>
  <c r="C66" i="47" s="1"/>
  <c r="C67" i="47" s="1"/>
  <c r="C68" i="47" s="1"/>
  <c r="C69" i="47" s="1"/>
  <c r="C70" i="47" s="1"/>
  <c r="C71" i="47" s="1"/>
  <c r="C72" i="47" s="1"/>
  <c r="O17" i="47"/>
  <c r="O25" i="47"/>
  <c r="O33" i="47"/>
  <c r="O38" i="47"/>
  <c r="O41" i="47"/>
  <c r="O54" i="47"/>
  <c r="O57" i="47"/>
  <c r="F17" i="47"/>
  <c r="O60" i="47"/>
  <c r="O22" i="47"/>
  <c r="O30" i="47"/>
  <c r="O46" i="47"/>
  <c r="O49" i="47"/>
  <c r="P119" i="47"/>
  <c r="O18" i="47"/>
  <c r="O21" i="47"/>
  <c r="O26" i="47"/>
  <c r="O29" i="47"/>
  <c r="O34" i="47"/>
  <c r="O37" i="47"/>
  <c r="O42" i="47"/>
  <c r="O45" i="47"/>
  <c r="O50" i="47"/>
  <c r="O53" i="47"/>
  <c r="O58" i="47"/>
  <c r="P127" i="47"/>
  <c r="O71" i="47"/>
  <c r="O67" i="47"/>
  <c r="P123" i="47"/>
  <c r="P120" i="47"/>
  <c r="P124" i="47"/>
  <c r="P130" i="47"/>
  <c r="P121" i="47"/>
  <c r="P125" i="47"/>
  <c r="P129" i="47"/>
  <c r="M16" i="2"/>
  <c r="J92" i="47" s="1"/>
  <c r="L86" i="47" s="1"/>
  <c r="N99" i="46"/>
  <c r="L99" i="46"/>
  <c r="M99" i="46" s="1"/>
  <c r="M18" i="46"/>
  <c r="K18" i="46"/>
  <c r="L18" i="46" s="1"/>
  <c r="N100" i="45"/>
  <c r="L100" i="45"/>
  <c r="M100" i="45" s="1"/>
  <c r="M19" i="45"/>
  <c r="K19" i="45"/>
  <c r="L19" i="45" s="1"/>
  <c r="N100" i="44"/>
  <c r="L100" i="44"/>
  <c r="M100" i="44" s="1"/>
  <c r="M19" i="44"/>
  <c r="K19" i="44"/>
  <c r="L19" i="44" s="1"/>
  <c r="N101" i="43"/>
  <c r="L101" i="43"/>
  <c r="M101" i="43" s="1"/>
  <c r="M20" i="43"/>
  <c r="K20" i="43"/>
  <c r="L20" i="43" s="1"/>
  <c r="N101" i="42"/>
  <c r="L101" i="42"/>
  <c r="M101" i="42" s="1"/>
  <c r="M20" i="42"/>
  <c r="K20" i="42"/>
  <c r="L20" i="42" s="1"/>
  <c r="N101" i="41"/>
  <c r="L101" i="41"/>
  <c r="M101" i="41" s="1"/>
  <c r="M20" i="41"/>
  <c r="K20" i="41"/>
  <c r="L20" i="41" s="1"/>
  <c r="N101" i="40"/>
  <c r="L101" i="40"/>
  <c r="M101" i="40" s="1"/>
  <c r="M20" i="40"/>
  <c r="K20" i="40"/>
  <c r="L20" i="40" s="1"/>
  <c r="N102" i="39"/>
  <c r="L102" i="39"/>
  <c r="M102" i="39" s="1"/>
  <c r="M21" i="39"/>
  <c r="K21" i="39"/>
  <c r="L21" i="39" s="1"/>
  <c r="N101" i="38"/>
  <c r="L101" i="38"/>
  <c r="M101" i="38" s="1"/>
  <c r="M21" i="38"/>
  <c r="K21" i="38"/>
  <c r="L21" i="38" s="1"/>
  <c r="N102" i="37"/>
  <c r="L102" i="37"/>
  <c r="M102" i="37" s="1"/>
  <c r="M21" i="37"/>
  <c r="K21" i="37"/>
  <c r="L21" i="37" s="1"/>
  <c r="N105" i="31"/>
  <c r="L105" i="31"/>
  <c r="M105" i="31" s="1"/>
  <c r="M24" i="31"/>
  <c r="K24" i="31"/>
  <c r="L24" i="31" s="1"/>
  <c r="N104" i="30"/>
  <c r="L104" i="30"/>
  <c r="M104" i="30" s="1"/>
  <c r="M23" i="30"/>
  <c r="K23" i="30"/>
  <c r="L23" i="30" s="1"/>
  <c r="N105" i="29"/>
  <c r="L105" i="29"/>
  <c r="M105" i="29" s="1"/>
  <c r="M24" i="29"/>
  <c r="K24" i="29"/>
  <c r="L24" i="29" s="1"/>
  <c r="N105" i="28"/>
  <c r="L105" i="28"/>
  <c r="M105" i="28" s="1"/>
  <c r="M24" i="28"/>
  <c r="K24" i="28"/>
  <c r="L24" i="28" s="1"/>
  <c r="N106" i="27"/>
  <c r="L106" i="27"/>
  <c r="M106" i="27" s="1"/>
  <c r="M25" i="27"/>
  <c r="K25" i="27"/>
  <c r="L25" i="27" s="1"/>
  <c r="O154" i="25"/>
  <c r="O153" i="25"/>
  <c r="O152" i="25"/>
  <c r="O151" i="25"/>
  <c r="O150" i="25"/>
  <c r="O149" i="25"/>
  <c r="O148" i="25"/>
  <c r="O147" i="25"/>
  <c r="O146" i="25"/>
  <c r="O145" i="25"/>
  <c r="O144" i="25"/>
  <c r="O143" i="25"/>
  <c r="O142" i="25"/>
  <c r="O141" i="25"/>
  <c r="O140" i="25"/>
  <c r="O139" i="25"/>
  <c r="O138" i="25"/>
  <c r="O137" i="25"/>
  <c r="O136" i="25"/>
  <c r="O135" i="25"/>
  <c r="O134" i="25"/>
  <c r="O133" i="25"/>
  <c r="O132" i="25"/>
  <c r="O131" i="25"/>
  <c r="O130" i="25"/>
  <c r="O129" i="25"/>
  <c r="O128" i="25"/>
  <c r="O127" i="25"/>
  <c r="O126" i="25"/>
  <c r="O125" i="25"/>
  <c r="O124" i="25"/>
  <c r="O123" i="25"/>
  <c r="O122" i="25"/>
  <c r="O121" i="25"/>
  <c r="O120" i="25"/>
  <c r="O119" i="25"/>
  <c r="O118" i="25"/>
  <c r="O117" i="25"/>
  <c r="O116" i="25"/>
  <c r="O115" i="25"/>
  <c r="O114" i="25"/>
  <c r="O113" i="25"/>
  <c r="O112" i="25"/>
  <c r="O111" i="25"/>
  <c r="O110" i="25"/>
  <c r="N109" i="25"/>
  <c r="O109" i="25" s="1"/>
  <c r="L109" i="25"/>
  <c r="M109" i="25" s="1"/>
  <c r="M28" i="25"/>
  <c r="K28" i="25"/>
  <c r="L28" i="25" s="1"/>
  <c r="N107" i="24"/>
  <c r="L107" i="24"/>
  <c r="M107" i="24" s="1"/>
  <c r="M26" i="24"/>
  <c r="K26" i="24"/>
  <c r="L26" i="24" s="1"/>
  <c r="N108" i="23"/>
  <c r="L108" i="23"/>
  <c r="M108" i="23" s="1"/>
  <c r="M27" i="23"/>
  <c r="K27" i="23"/>
  <c r="L27" i="23" s="1"/>
  <c r="N109" i="22"/>
  <c r="L109" i="22"/>
  <c r="M109" i="22" s="1"/>
  <c r="M28" i="22"/>
  <c r="K28" i="22"/>
  <c r="L28" i="22" s="1"/>
  <c r="N112" i="11"/>
  <c r="L112" i="11"/>
  <c r="M112" i="11" s="1"/>
  <c r="M31" i="11"/>
  <c r="K31" i="11"/>
  <c r="L31" i="11" s="1"/>
  <c r="N113" i="10"/>
  <c r="L113" i="10"/>
  <c r="M113" i="10" s="1"/>
  <c r="M32" i="10"/>
  <c r="K32" i="10"/>
  <c r="L32" i="10" s="1"/>
  <c r="N112" i="9"/>
  <c r="L112" i="9"/>
  <c r="M112" i="9" s="1"/>
  <c r="M31" i="9"/>
  <c r="K31" i="9"/>
  <c r="L31" i="9" s="1"/>
  <c r="N111" i="8"/>
  <c r="L111" i="8"/>
  <c r="M111" i="8" s="1"/>
  <c r="M30" i="8"/>
  <c r="K30" i="8"/>
  <c r="L30" i="8" s="1"/>
  <c r="N113" i="7"/>
  <c r="L113" i="7"/>
  <c r="M113" i="7" s="1"/>
  <c r="M32" i="7"/>
  <c r="K32" i="7"/>
  <c r="L32" i="7" s="1"/>
  <c r="N111" i="6"/>
  <c r="L111" i="6"/>
  <c r="M111" i="6" s="1"/>
  <c r="M30" i="6"/>
  <c r="K30" i="6"/>
  <c r="L30" i="6" s="1"/>
  <c r="N110" i="5"/>
  <c r="L110" i="5"/>
  <c r="M110" i="5" s="1"/>
  <c r="M29" i="5"/>
  <c r="K29" i="5"/>
  <c r="L29" i="5" s="1"/>
  <c r="N110" i="4"/>
  <c r="L110" i="4"/>
  <c r="M110" i="4" s="1"/>
  <c r="M29" i="4"/>
  <c r="K29" i="4"/>
  <c r="L29" i="4" s="1"/>
  <c r="M87" i="47" l="1"/>
  <c r="N87" i="47"/>
  <c r="O87" i="47" s="1"/>
  <c r="D18" i="47"/>
  <c r="W45" i="17"/>
  <c r="B18" i="47" l="1"/>
  <c r="E18" i="47"/>
  <c r="F18" i="47" s="1"/>
  <c r="N110" i="3"/>
  <c r="L110" i="3"/>
  <c r="M110" i="3" s="1"/>
  <c r="M29" i="3"/>
  <c r="K29" i="3"/>
  <c r="L29" i="3" s="1"/>
  <c r="D19" i="47" l="1"/>
  <c r="E19" i="47"/>
  <c r="H3" i="17"/>
  <c r="F19" i="47" l="1"/>
  <c r="B19" i="47"/>
  <c r="D20" i="47" l="1"/>
  <c r="N99" i="45"/>
  <c r="L99" i="45"/>
  <c r="M99" i="45" s="1"/>
  <c r="N99" i="44"/>
  <c r="L99" i="44"/>
  <c r="M99" i="44" s="1"/>
  <c r="N100" i="43"/>
  <c r="L100" i="43"/>
  <c r="M100" i="43" s="1"/>
  <c r="N100" i="42"/>
  <c r="L100" i="42"/>
  <c r="M100" i="42" s="1"/>
  <c r="L100" i="41"/>
  <c r="M100" i="41" s="1"/>
  <c r="N100" i="40"/>
  <c r="L100" i="40"/>
  <c r="M100" i="40" s="1"/>
  <c r="N101" i="39"/>
  <c r="L101" i="39"/>
  <c r="M101" i="39" s="1"/>
  <c r="N101" i="37"/>
  <c r="L101" i="37"/>
  <c r="M101" i="37" s="1"/>
  <c r="N104" i="31"/>
  <c r="L104" i="31"/>
  <c r="M104" i="31" s="1"/>
  <c r="N103" i="30"/>
  <c r="L103" i="30"/>
  <c r="M103" i="30" s="1"/>
  <c r="N104" i="29"/>
  <c r="L104" i="29"/>
  <c r="M104" i="29" s="1"/>
  <c r="N104" i="28"/>
  <c r="L104" i="28"/>
  <c r="M104" i="28" s="1"/>
  <c r="N105" i="27"/>
  <c r="L105" i="27"/>
  <c r="M105" i="27" s="1"/>
  <c r="N108" i="25"/>
  <c r="O108" i="25" s="1"/>
  <c r="L108" i="25"/>
  <c r="M108" i="25" s="1"/>
  <c r="N106" i="24"/>
  <c r="L106" i="24"/>
  <c r="M106" i="24" s="1"/>
  <c r="N107" i="23"/>
  <c r="L107" i="23"/>
  <c r="M107" i="23" s="1"/>
  <c r="N108" i="22"/>
  <c r="L108" i="22"/>
  <c r="M108" i="22" s="1"/>
  <c r="N111" i="11"/>
  <c r="L111" i="11"/>
  <c r="M111" i="11" s="1"/>
  <c r="N112" i="10"/>
  <c r="L112" i="10"/>
  <c r="M112" i="10" s="1"/>
  <c r="N111" i="9"/>
  <c r="M111" i="9"/>
  <c r="L111" i="9"/>
  <c r="N110" i="8"/>
  <c r="L110" i="8"/>
  <c r="M110" i="8" s="1"/>
  <c r="N112" i="7"/>
  <c r="L112" i="7"/>
  <c r="M112" i="7" s="1"/>
  <c r="N110" i="6"/>
  <c r="L110" i="6"/>
  <c r="M110" i="6" s="1"/>
  <c r="N109" i="5"/>
  <c r="L109" i="5"/>
  <c r="M109" i="5" s="1"/>
  <c r="N109" i="3"/>
  <c r="L109" i="3"/>
  <c r="M109" i="3" s="1"/>
  <c r="N109" i="4"/>
  <c r="L109" i="4"/>
  <c r="M109" i="4" s="1"/>
  <c r="B20" i="47" l="1"/>
  <c r="E20" i="47"/>
  <c r="F20" i="47" s="1"/>
  <c r="N100" i="41"/>
  <c r="D21" i="47" l="1"/>
  <c r="E21" i="47"/>
  <c r="M17" i="46"/>
  <c r="K17" i="46"/>
  <c r="L17" i="46" s="1"/>
  <c r="M18" i="45"/>
  <c r="K18" i="45"/>
  <c r="L18" i="45" s="1"/>
  <c r="M18" i="44"/>
  <c r="K18" i="44"/>
  <c r="L18" i="44" s="1"/>
  <c r="M19" i="43"/>
  <c r="K19" i="43"/>
  <c r="L19" i="43" s="1"/>
  <c r="M19" i="42"/>
  <c r="K19" i="42"/>
  <c r="L19" i="42" s="1"/>
  <c r="M19" i="41"/>
  <c r="K19" i="41"/>
  <c r="L19" i="41" s="1"/>
  <c r="M19" i="40"/>
  <c r="K19" i="40"/>
  <c r="L19" i="40" s="1"/>
  <c r="M20" i="39"/>
  <c r="K20" i="39"/>
  <c r="L20" i="39" s="1"/>
  <c r="M20" i="38"/>
  <c r="K20" i="38"/>
  <c r="L20" i="38" s="1"/>
  <c r="M20" i="37"/>
  <c r="K20" i="37"/>
  <c r="L20" i="37" s="1"/>
  <c r="M23" i="31"/>
  <c r="K23" i="31"/>
  <c r="L23" i="31" s="1"/>
  <c r="M22" i="30"/>
  <c r="K22" i="30"/>
  <c r="L22" i="30" s="1"/>
  <c r="M23" i="29"/>
  <c r="K23" i="29"/>
  <c r="L23" i="29" s="1"/>
  <c r="M23" i="28"/>
  <c r="K23" i="28"/>
  <c r="L23" i="28" s="1"/>
  <c r="M24" i="27"/>
  <c r="K24" i="27"/>
  <c r="L24" i="27" s="1"/>
  <c r="M27" i="25"/>
  <c r="K27" i="25"/>
  <c r="L27" i="25" s="1"/>
  <c r="M25" i="24"/>
  <c r="K25" i="24"/>
  <c r="L25" i="24" s="1"/>
  <c r="M26" i="23"/>
  <c r="K26" i="23"/>
  <c r="L26" i="23" s="1"/>
  <c r="M27" i="22"/>
  <c r="K27" i="22"/>
  <c r="L27" i="22" s="1"/>
  <c r="M30" i="11"/>
  <c r="K30" i="11"/>
  <c r="L30" i="11" s="1"/>
  <c r="M28" i="5"/>
  <c r="K28" i="5"/>
  <c r="L28" i="5" s="1"/>
  <c r="M28" i="3"/>
  <c r="K28" i="3"/>
  <c r="L28" i="3" s="1"/>
  <c r="M31" i="10"/>
  <c r="K31" i="10"/>
  <c r="L31" i="10" s="1"/>
  <c r="M30" i="9"/>
  <c r="K30" i="9"/>
  <c r="L30" i="9" s="1"/>
  <c r="M29" i="8"/>
  <c r="K29" i="8"/>
  <c r="L29" i="8" s="1"/>
  <c r="M31" i="7"/>
  <c r="K31" i="7"/>
  <c r="L31" i="7" s="1"/>
  <c r="M29" i="6"/>
  <c r="K29" i="6"/>
  <c r="L29" i="6" s="1"/>
  <c r="M1048576" i="6"/>
  <c r="K1048576" i="6"/>
  <c r="L1048576" i="6" s="1"/>
  <c r="M28" i="4"/>
  <c r="N28" i="4" s="1"/>
  <c r="K28" i="4"/>
  <c r="L28" i="4" s="1"/>
  <c r="P45" i="17"/>
  <c r="B21" i="47" l="1"/>
  <c r="F21" i="47"/>
  <c r="W44" i="17"/>
  <c r="W43" i="17"/>
  <c r="N48" i="17"/>
  <c r="E48" i="17"/>
  <c r="D22" i="47" l="1"/>
  <c r="E22" i="47" s="1"/>
  <c r="M17" i="45"/>
  <c r="K17" i="45"/>
  <c r="L17" i="45" s="1"/>
  <c r="M17" i="44"/>
  <c r="K17" i="44"/>
  <c r="L17" i="44" s="1"/>
  <c r="M18" i="42"/>
  <c r="K18" i="42"/>
  <c r="L18" i="42" s="1"/>
  <c r="M18" i="43"/>
  <c r="K18" i="43"/>
  <c r="L18" i="43" s="1"/>
  <c r="M18" i="41"/>
  <c r="K18" i="41"/>
  <c r="L18" i="41" s="1"/>
  <c r="M18" i="40"/>
  <c r="K18" i="40"/>
  <c r="L18" i="40" s="1"/>
  <c r="M19" i="39"/>
  <c r="K19" i="39"/>
  <c r="L19" i="39" s="1"/>
  <c r="M19" i="38"/>
  <c r="K19" i="38"/>
  <c r="L19" i="38" s="1"/>
  <c r="M19" i="37"/>
  <c r="K19" i="37"/>
  <c r="L19" i="37" s="1"/>
  <c r="M22" i="31"/>
  <c r="K22" i="31"/>
  <c r="L22" i="31" s="1"/>
  <c r="M21" i="30"/>
  <c r="K21" i="30"/>
  <c r="L21" i="30" s="1"/>
  <c r="M22" i="29"/>
  <c r="K22" i="29"/>
  <c r="L22" i="29" s="1"/>
  <c r="M22" i="28"/>
  <c r="K22" i="28"/>
  <c r="L22" i="28" s="1"/>
  <c r="M23" i="27"/>
  <c r="K23" i="27"/>
  <c r="L23" i="27" s="1"/>
  <c r="M26" i="25"/>
  <c r="N26" i="25" s="1"/>
  <c r="K26" i="25"/>
  <c r="L26" i="25" s="1"/>
  <c r="M24" i="24"/>
  <c r="N24" i="24" s="1"/>
  <c r="K24" i="24"/>
  <c r="L24" i="24" s="1"/>
  <c r="M25" i="23"/>
  <c r="N25" i="23" s="1"/>
  <c r="K25" i="23"/>
  <c r="L25" i="23" s="1"/>
  <c r="M26" i="22"/>
  <c r="N26" i="22" s="1"/>
  <c r="K26" i="22"/>
  <c r="L26" i="22" s="1"/>
  <c r="M29" i="11"/>
  <c r="N29" i="11" s="1"/>
  <c r="K29" i="11"/>
  <c r="L29" i="11" s="1"/>
  <c r="F22" i="47" l="1"/>
  <c r="B22" i="47"/>
  <c r="O24" i="24"/>
  <c r="O25" i="23"/>
  <c r="O26" i="22"/>
  <c r="D23" i="47" l="1"/>
  <c r="M30" i="10"/>
  <c r="N30" i="10" s="1"/>
  <c r="K30" i="10"/>
  <c r="L30" i="10" s="1"/>
  <c r="M29" i="9"/>
  <c r="N29" i="9" s="1"/>
  <c r="K29" i="9"/>
  <c r="L29" i="9" s="1"/>
  <c r="M28" i="8"/>
  <c r="N28" i="8" s="1"/>
  <c r="K28" i="8"/>
  <c r="L28" i="8" s="1"/>
  <c r="M30" i="7"/>
  <c r="N30" i="7" s="1"/>
  <c r="K30" i="7"/>
  <c r="L30" i="7" s="1"/>
  <c r="M28" i="6"/>
  <c r="N28" i="6" s="1"/>
  <c r="K28" i="6"/>
  <c r="L28" i="6" s="1"/>
  <c r="M27" i="5"/>
  <c r="N27" i="5" s="1"/>
  <c r="K27" i="5"/>
  <c r="L27" i="5" s="1"/>
  <c r="M27" i="4"/>
  <c r="N27" i="4" s="1"/>
  <c r="K27" i="4"/>
  <c r="L27" i="4" s="1"/>
  <c r="M27" i="3"/>
  <c r="N27" i="3" s="1"/>
  <c r="K27" i="3"/>
  <c r="L27" i="3" s="1"/>
  <c r="B23" i="47" l="1"/>
  <c r="E23" i="47"/>
  <c r="F23" i="47" s="1"/>
  <c r="O27" i="4"/>
  <c r="O30" i="10"/>
  <c r="O29" i="9"/>
  <c r="O28" i="8"/>
  <c r="O30" i="7"/>
  <c r="O28" i="6"/>
  <c r="O27" i="5"/>
  <c r="O27" i="3"/>
  <c r="D24" i="47" l="1"/>
  <c r="N99" i="43"/>
  <c r="O99" i="43" s="1"/>
  <c r="L99" i="43"/>
  <c r="M99" i="43" s="1"/>
  <c r="N99" i="42"/>
  <c r="O99" i="42" s="1"/>
  <c r="M99" i="42"/>
  <c r="L99" i="42"/>
  <c r="N99" i="41"/>
  <c r="O99" i="41" s="1"/>
  <c r="L99" i="41"/>
  <c r="M99" i="41" s="1"/>
  <c r="N99" i="40"/>
  <c r="O99" i="40" s="1"/>
  <c r="L99" i="40"/>
  <c r="M99" i="40" s="1"/>
  <c r="N100" i="39"/>
  <c r="O100" i="39" s="1"/>
  <c r="L100" i="39"/>
  <c r="M100" i="39" s="1"/>
  <c r="N100" i="37"/>
  <c r="O100" i="37" s="1"/>
  <c r="L100" i="37"/>
  <c r="M100" i="37" s="1"/>
  <c r="N103" i="31"/>
  <c r="O103" i="31" s="1"/>
  <c r="L103" i="31"/>
  <c r="M103" i="31" s="1"/>
  <c r="N102" i="30"/>
  <c r="O102" i="30" s="1"/>
  <c r="L102" i="30"/>
  <c r="M102" i="30" s="1"/>
  <c r="N103" i="29"/>
  <c r="O103" i="29" s="1"/>
  <c r="L103" i="29"/>
  <c r="M103" i="29" s="1"/>
  <c r="N103" i="28"/>
  <c r="O103" i="28" s="1"/>
  <c r="L103" i="28"/>
  <c r="M103" i="28" s="1"/>
  <c r="N104" i="27"/>
  <c r="O104" i="27" s="1"/>
  <c r="M104" i="27"/>
  <c r="L104" i="27"/>
  <c r="N107" i="25"/>
  <c r="O107" i="25" s="1"/>
  <c r="L107" i="25"/>
  <c r="M107" i="25" s="1"/>
  <c r="N105" i="24"/>
  <c r="O105" i="24" s="1"/>
  <c r="L105" i="24"/>
  <c r="M105" i="24" s="1"/>
  <c r="N106" i="23"/>
  <c r="O106" i="23" s="1"/>
  <c r="P106" i="23" s="1"/>
  <c r="M106" i="23"/>
  <c r="L106" i="23"/>
  <c r="N107" i="22"/>
  <c r="O107" i="22" s="1"/>
  <c r="M107" i="22"/>
  <c r="L107" i="22"/>
  <c r="N110" i="11"/>
  <c r="O110" i="11" s="1"/>
  <c r="L110" i="11"/>
  <c r="M110" i="11" s="1"/>
  <c r="N111" i="10"/>
  <c r="O111" i="10" s="1"/>
  <c r="L111" i="10"/>
  <c r="M111" i="10" s="1"/>
  <c r="N110" i="9"/>
  <c r="O110" i="9" s="1"/>
  <c r="P110" i="9" s="1"/>
  <c r="M110" i="9"/>
  <c r="L110" i="9"/>
  <c r="N109" i="8"/>
  <c r="O109" i="8" s="1"/>
  <c r="M109" i="8"/>
  <c r="L109" i="8"/>
  <c r="N111" i="7"/>
  <c r="O111" i="7" s="1"/>
  <c r="L111" i="7"/>
  <c r="M111" i="7" s="1"/>
  <c r="N109" i="6"/>
  <c r="O109" i="6" s="1"/>
  <c r="L109" i="6"/>
  <c r="M109" i="6" s="1"/>
  <c r="N108" i="5"/>
  <c r="O108" i="5" s="1"/>
  <c r="P108" i="5" s="1"/>
  <c r="M108" i="5"/>
  <c r="L108" i="5"/>
  <c r="N108" i="4"/>
  <c r="O108" i="4" s="1"/>
  <c r="M108" i="4"/>
  <c r="L108" i="4"/>
  <c r="N108" i="3"/>
  <c r="O108" i="3" s="1"/>
  <c r="L108" i="3"/>
  <c r="M108" i="3" s="1"/>
  <c r="O48" i="17"/>
  <c r="P44" i="17"/>
  <c r="P43" i="17"/>
  <c r="P103" i="28" l="1"/>
  <c r="P108" i="4"/>
  <c r="P107" i="22"/>
  <c r="P104" i="27"/>
  <c r="P99" i="42"/>
  <c r="P108" i="3"/>
  <c r="P111" i="7"/>
  <c r="P110" i="11"/>
  <c r="P107" i="25"/>
  <c r="P99" i="41"/>
  <c r="P99" i="43"/>
  <c r="P109" i="8"/>
  <c r="P109" i="6"/>
  <c r="P111" i="10"/>
  <c r="P105" i="24"/>
  <c r="P103" i="29"/>
  <c r="P99" i="40"/>
  <c r="B24" i="47"/>
  <c r="E24" i="47"/>
  <c r="F24" i="47" s="1"/>
  <c r="P100" i="39"/>
  <c r="P103" i="31"/>
  <c r="P100" i="37"/>
  <c r="P102" i="30"/>
  <c r="D25" i="47" l="1"/>
  <c r="E25" i="47"/>
  <c r="J48" i="17"/>
  <c r="K45" i="17" l="1"/>
  <c r="L45" i="17" s="1"/>
  <c r="K46" i="17"/>
  <c r="L46" i="17" s="1"/>
  <c r="F25" i="47"/>
  <c r="B25" i="47"/>
  <c r="M17" i="43"/>
  <c r="K17" i="43"/>
  <c r="E36" i="1"/>
  <c r="E35" i="1"/>
  <c r="C36" i="1"/>
  <c r="C35" i="1"/>
  <c r="L19" i="1"/>
  <c r="I10" i="47" s="1"/>
  <c r="I55" i="17"/>
  <c r="E99" i="47" l="1"/>
  <c r="F99" i="47" s="1"/>
  <c r="D26" i="47"/>
  <c r="E26" i="47"/>
  <c r="A4" i="1"/>
  <c r="A2" i="1"/>
  <c r="G99" i="47" l="1"/>
  <c r="D100" i="47"/>
  <c r="B100" i="47" s="1"/>
  <c r="B26" i="47"/>
  <c r="F26" i="47"/>
  <c r="P42" i="17"/>
  <c r="D27" i="47" l="1"/>
  <c r="E36" i="2"/>
  <c r="E35" i="2"/>
  <c r="C36" i="2"/>
  <c r="C35" i="2"/>
  <c r="C34" i="2"/>
  <c r="B27" i="47" l="1"/>
  <c r="E27" i="47"/>
  <c r="F27" i="47" s="1"/>
  <c r="W42" i="17"/>
  <c r="P154" i="46"/>
  <c r="O154" i="46"/>
  <c r="M154" i="46"/>
  <c r="J154" i="46"/>
  <c r="P153" i="46"/>
  <c r="O153" i="46"/>
  <c r="M153" i="46"/>
  <c r="J153" i="46"/>
  <c r="P152" i="46"/>
  <c r="O152" i="46"/>
  <c r="M152" i="46"/>
  <c r="J152" i="46"/>
  <c r="P151" i="46"/>
  <c r="O151" i="46"/>
  <c r="M151" i="46"/>
  <c r="J151" i="46"/>
  <c r="P150" i="46"/>
  <c r="O150" i="46"/>
  <c r="M150" i="46"/>
  <c r="J150" i="46"/>
  <c r="P149" i="46"/>
  <c r="O149" i="46"/>
  <c r="M149" i="46"/>
  <c r="J149" i="46"/>
  <c r="P148" i="46"/>
  <c r="O148" i="46"/>
  <c r="M148" i="46"/>
  <c r="J148" i="46"/>
  <c r="P147" i="46"/>
  <c r="O147" i="46"/>
  <c r="M147" i="46"/>
  <c r="J147" i="46"/>
  <c r="P146" i="46"/>
  <c r="O146" i="46"/>
  <c r="M146" i="46"/>
  <c r="J146" i="46"/>
  <c r="P145" i="46"/>
  <c r="O145" i="46"/>
  <c r="M145" i="46"/>
  <c r="J145" i="46"/>
  <c r="P144" i="46"/>
  <c r="O144" i="46"/>
  <c r="M144" i="46"/>
  <c r="J144" i="46"/>
  <c r="P143" i="46"/>
  <c r="O143" i="46"/>
  <c r="M143" i="46"/>
  <c r="J143" i="46"/>
  <c r="P142" i="46"/>
  <c r="O142" i="46"/>
  <c r="M142" i="46"/>
  <c r="J142" i="46"/>
  <c r="P141" i="46"/>
  <c r="O141" i="46"/>
  <c r="M141" i="46"/>
  <c r="J141" i="46"/>
  <c r="P140" i="46"/>
  <c r="O140" i="46"/>
  <c r="M140" i="46"/>
  <c r="J140" i="46"/>
  <c r="P139" i="46"/>
  <c r="O139" i="46"/>
  <c r="M139" i="46"/>
  <c r="J139" i="46"/>
  <c r="P138" i="46"/>
  <c r="O138" i="46"/>
  <c r="M138" i="46"/>
  <c r="J138" i="46"/>
  <c r="P137" i="46"/>
  <c r="O137" i="46"/>
  <c r="M137" i="46"/>
  <c r="J137" i="46"/>
  <c r="P136" i="46"/>
  <c r="O136" i="46"/>
  <c r="M136" i="46"/>
  <c r="J136" i="46"/>
  <c r="P135" i="46"/>
  <c r="O135" i="46"/>
  <c r="M135" i="46"/>
  <c r="J135" i="46"/>
  <c r="P134" i="46"/>
  <c r="O134" i="46"/>
  <c r="M134" i="46"/>
  <c r="J134" i="46"/>
  <c r="P133" i="46"/>
  <c r="O133" i="46"/>
  <c r="M133" i="46"/>
  <c r="J133" i="46"/>
  <c r="P132" i="46"/>
  <c r="O132" i="46"/>
  <c r="M132" i="46"/>
  <c r="J132" i="46"/>
  <c r="P131" i="46"/>
  <c r="O131" i="46"/>
  <c r="M131" i="46"/>
  <c r="J131" i="46"/>
  <c r="O130" i="46"/>
  <c r="M130" i="46"/>
  <c r="O129" i="46"/>
  <c r="M129" i="46"/>
  <c r="O128" i="46"/>
  <c r="M128" i="46"/>
  <c r="O127" i="46"/>
  <c r="M127" i="46"/>
  <c r="O126" i="46"/>
  <c r="M126" i="46"/>
  <c r="O125" i="46"/>
  <c r="M125" i="46"/>
  <c r="O124" i="46"/>
  <c r="M124" i="46"/>
  <c r="O123" i="46"/>
  <c r="M123" i="46"/>
  <c r="O122" i="46"/>
  <c r="M122" i="46"/>
  <c r="O121" i="46"/>
  <c r="M121" i="46"/>
  <c r="O120" i="46"/>
  <c r="M120" i="46"/>
  <c r="O119" i="46"/>
  <c r="M119" i="46"/>
  <c r="O118" i="46"/>
  <c r="M118" i="46"/>
  <c r="O117" i="46"/>
  <c r="M117" i="46"/>
  <c r="O116" i="46"/>
  <c r="M116" i="46"/>
  <c r="O115" i="46"/>
  <c r="M115" i="46"/>
  <c r="O114" i="46"/>
  <c r="M114" i="46"/>
  <c r="O113" i="46"/>
  <c r="M113" i="46"/>
  <c r="O112" i="46"/>
  <c r="M112" i="46"/>
  <c r="O111" i="46"/>
  <c r="M111" i="46"/>
  <c r="O110" i="46"/>
  <c r="M110" i="46"/>
  <c r="O109" i="46"/>
  <c r="M109" i="46"/>
  <c r="O108" i="46"/>
  <c r="M108" i="46"/>
  <c r="O107" i="46"/>
  <c r="M107" i="46"/>
  <c r="O106" i="46"/>
  <c r="M106" i="46"/>
  <c r="O105" i="46"/>
  <c r="M105" i="46"/>
  <c r="O104" i="46"/>
  <c r="M104" i="46"/>
  <c r="O103" i="46"/>
  <c r="M103" i="46"/>
  <c r="O102" i="46"/>
  <c r="M102" i="46"/>
  <c r="O101" i="46"/>
  <c r="M101" i="46"/>
  <c r="O100" i="46"/>
  <c r="M100" i="46"/>
  <c r="O99" i="46"/>
  <c r="C99" i="46"/>
  <c r="C100" i="46" s="1"/>
  <c r="C101" i="46" s="1"/>
  <c r="C102" i="46" s="1"/>
  <c r="C103" i="46" s="1"/>
  <c r="C104" i="46" s="1"/>
  <c r="C105" i="46" s="1"/>
  <c r="C106" i="46" s="1"/>
  <c r="C107" i="46" s="1"/>
  <c r="C108" i="46" s="1"/>
  <c r="C109" i="46" s="1"/>
  <c r="C110" i="46" s="1"/>
  <c r="C111" i="46" s="1"/>
  <c r="C112" i="46" s="1"/>
  <c r="C113" i="46" s="1"/>
  <c r="C114" i="46" s="1"/>
  <c r="C115" i="46" s="1"/>
  <c r="C116" i="46" s="1"/>
  <c r="C117" i="46" s="1"/>
  <c r="C118" i="46" s="1"/>
  <c r="C119" i="46" s="1"/>
  <c r="C120" i="46" s="1"/>
  <c r="C121" i="46" s="1"/>
  <c r="C122" i="46" s="1"/>
  <c r="C123" i="46" s="1"/>
  <c r="C124" i="46" s="1"/>
  <c r="C125" i="46" s="1"/>
  <c r="C126" i="46" s="1"/>
  <c r="C127" i="46" s="1"/>
  <c r="C128" i="46" s="1"/>
  <c r="C129" i="46" s="1"/>
  <c r="C130" i="46" s="1"/>
  <c r="C131" i="46" s="1"/>
  <c r="C132" i="46" s="1"/>
  <c r="C133" i="46" s="1"/>
  <c r="C134" i="46" s="1"/>
  <c r="C135" i="46" s="1"/>
  <c r="C136" i="46" s="1"/>
  <c r="C137" i="46" s="1"/>
  <c r="C138" i="46" s="1"/>
  <c r="C139" i="46" s="1"/>
  <c r="C140" i="46" s="1"/>
  <c r="C141" i="46" s="1"/>
  <c r="C142" i="46" s="1"/>
  <c r="C143" i="46" s="1"/>
  <c r="C144" i="46" s="1"/>
  <c r="C145" i="46" s="1"/>
  <c r="C146" i="46" s="1"/>
  <c r="C147" i="46" s="1"/>
  <c r="C148" i="46" s="1"/>
  <c r="C149" i="46" s="1"/>
  <c r="C150" i="46" s="1"/>
  <c r="C151" i="46" s="1"/>
  <c r="C152" i="46" s="1"/>
  <c r="C153" i="46" s="1"/>
  <c r="C154" i="46" s="1"/>
  <c r="D96" i="46"/>
  <c r="L93" i="46"/>
  <c r="J93" i="46"/>
  <c r="N72" i="46"/>
  <c r="L72" i="46"/>
  <c r="N71" i="46"/>
  <c r="L71" i="46"/>
  <c r="N70" i="46"/>
  <c r="L70" i="46"/>
  <c r="N69" i="46"/>
  <c r="L69" i="46"/>
  <c r="N68" i="46"/>
  <c r="L68" i="46"/>
  <c r="N67" i="46"/>
  <c r="L67" i="46"/>
  <c r="N66" i="46"/>
  <c r="L66" i="46"/>
  <c r="N65" i="46"/>
  <c r="L65" i="46"/>
  <c r="N64" i="46"/>
  <c r="L64" i="46"/>
  <c r="N63" i="46"/>
  <c r="L63" i="46"/>
  <c r="N62" i="46"/>
  <c r="L62" i="46"/>
  <c r="N61" i="46"/>
  <c r="L61" i="46"/>
  <c r="N60" i="46"/>
  <c r="L60" i="46"/>
  <c r="N59" i="46"/>
  <c r="L59" i="46"/>
  <c r="N58" i="46"/>
  <c r="L58" i="46"/>
  <c r="N57" i="46"/>
  <c r="L57" i="46"/>
  <c r="N56" i="46"/>
  <c r="L56" i="46"/>
  <c r="N55" i="46"/>
  <c r="L55" i="46"/>
  <c r="N54" i="46"/>
  <c r="L54" i="46"/>
  <c r="N53" i="46"/>
  <c r="L53" i="46"/>
  <c r="N52" i="46"/>
  <c r="L52" i="46"/>
  <c r="N51" i="46"/>
  <c r="L51" i="46"/>
  <c r="N50" i="46"/>
  <c r="L50" i="46"/>
  <c r="N49" i="46"/>
  <c r="L49" i="46"/>
  <c r="N48" i="46"/>
  <c r="L48" i="46"/>
  <c r="N47" i="46"/>
  <c r="L47" i="46"/>
  <c r="N46" i="46"/>
  <c r="L46" i="46"/>
  <c r="N45" i="46"/>
  <c r="L45" i="46"/>
  <c r="N44" i="46"/>
  <c r="L44" i="46"/>
  <c r="N43" i="46"/>
  <c r="L43" i="46"/>
  <c r="N42" i="46"/>
  <c r="L42" i="46"/>
  <c r="N41" i="46"/>
  <c r="L41" i="46"/>
  <c r="N40" i="46"/>
  <c r="L40" i="46"/>
  <c r="N39" i="46"/>
  <c r="L39" i="46"/>
  <c r="N38" i="46"/>
  <c r="L38" i="46"/>
  <c r="N37" i="46"/>
  <c r="L37" i="46"/>
  <c r="N36" i="46"/>
  <c r="L36" i="46"/>
  <c r="N35" i="46"/>
  <c r="L35" i="46"/>
  <c r="N34" i="46"/>
  <c r="L34" i="46"/>
  <c r="N33" i="46"/>
  <c r="L33" i="46"/>
  <c r="N32" i="46"/>
  <c r="L32" i="46"/>
  <c r="N31" i="46"/>
  <c r="L31" i="46"/>
  <c r="N30" i="46"/>
  <c r="L30" i="46"/>
  <c r="N29" i="46"/>
  <c r="L29" i="46"/>
  <c r="N28" i="46"/>
  <c r="L28" i="46"/>
  <c r="N27" i="46"/>
  <c r="L27" i="46"/>
  <c r="N26" i="46"/>
  <c r="L26" i="46"/>
  <c r="N25" i="46"/>
  <c r="L25" i="46"/>
  <c r="N24" i="46"/>
  <c r="L24" i="46"/>
  <c r="N23" i="46"/>
  <c r="L23" i="46"/>
  <c r="N22" i="46"/>
  <c r="L22" i="46"/>
  <c r="N21" i="46"/>
  <c r="L21" i="46"/>
  <c r="N20" i="46"/>
  <c r="L20" i="46"/>
  <c r="N19" i="46"/>
  <c r="L19" i="46"/>
  <c r="N18" i="46"/>
  <c r="N17" i="46"/>
  <c r="C17" i="46"/>
  <c r="C18" i="46" s="1"/>
  <c r="C19" i="46" s="1"/>
  <c r="C20" i="46" s="1"/>
  <c r="C21" i="46" s="1"/>
  <c r="C22" i="46" s="1"/>
  <c r="C23" i="46" s="1"/>
  <c r="C24" i="46" s="1"/>
  <c r="C25" i="46" s="1"/>
  <c r="C26" i="46" s="1"/>
  <c r="C27" i="46" s="1"/>
  <c r="C28" i="46" s="1"/>
  <c r="C29" i="46" s="1"/>
  <c r="C30" i="46" s="1"/>
  <c r="C31" i="46" s="1"/>
  <c r="C32" i="46" s="1"/>
  <c r="C33" i="46" s="1"/>
  <c r="C34" i="46" s="1"/>
  <c r="C35" i="46" s="1"/>
  <c r="C36" i="46" s="1"/>
  <c r="C37" i="46" s="1"/>
  <c r="C38" i="46" s="1"/>
  <c r="C39" i="46" s="1"/>
  <c r="C40" i="46" s="1"/>
  <c r="C41" i="46" s="1"/>
  <c r="C42" i="46" s="1"/>
  <c r="C43" i="46" s="1"/>
  <c r="C44" i="46" s="1"/>
  <c r="K11" i="46"/>
  <c r="I11" i="46"/>
  <c r="D90" i="46"/>
  <c r="P1" i="46"/>
  <c r="P83" i="46" s="1"/>
  <c r="P154" i="45"/>
  <c r="O154" i="45"/>
  <c r="M154" i="45"/>
  <c r="J154" i="45"/>
  <c r="P153" i="45"/>
  <c r="O153" i="45"/>
  <c r="M153" i="45"/>
  <c r="J153" i="45"/>
  <c r="P152" i="45"/>
  <c r="O152" i="45"/>
  <c r="M152" i="45"/>
  <c r="J152" i="45"/>
  <c r="P151" i="45"/>
  <c r="O151" i="45"/>
  <c r="M151" i="45"/>
  <c r="J151" i="45"/>
  <c r="P150" i="45"/>
  <c r="O150" i="45"/>
  <c r="M150" i="45"/>
  <c r="J150" i="45"/>
  <c r="P149" i="45"/>
  <c r="O149" i="45"/>
  <c r="M149" i="45"/>
  <c r="J149" i="45"/>
  <c r="P148" i="45"/>
  <c r="O148" i="45"/>
  <c r="M148" i="45"/>
  <c r="J148" i="45"/>
  <c r="P147" i="45"/>
  <c r="O147" i="45"/>
  <c r="M147" i="45"/>
  <c r="J147" i="45"/>
  <c r="P146" i="45"/>
  <c r="O146" i="45"/>
  <c r="M146" i="45"/>
  <c r="J146" i="45"/>
  <c r="P145" i="45"/>
  <c r="O145" i="45"/>
  <c r="M145" i="45"/>
  <c r="J145" i="45"/>
  <c r="P144" i="45"/>
  <c r="O144" i="45"/>
  <c r="M144" i="45"/>
  <c r="J144" i="45"/>
  <c r="P143" i="45"/>
  <c r="O143" i="45"/>
  <c r="M143" i="45"/>
  <c r="J143" i="45"/>
  <c r="P142" i="45"/>
  <c r="O142" i="45"/>
  <c r="M142" i="45"/>
  <c r="J142" i="45"/>
  <c r="P141" i="45"/>
  <c r="O141" i="45"/>
  <c r="M141" i="45"/>
  <c r="J141" i="45"/>
  <c r="P140" i="45"/>
  <c r="O140" i="45"/>
  <c r="M140" i="45"/>
  <c r="J140" i="45"/>
  <c r="P139" i="45"/>
  <c r="O139" i="45"/>
  <c r="M139" i="45"/>
  <c r="J139" i="45"/>
  <c r="P138" i="45"/>
  <c r="O138" i="45"/>
  <c r="M138" i="45"/>
  <c r="J138" i="45"/>
  <c r="P137" i="45"/>
  <c r="O137" i="45"/>
  <c r="M137" i="45"/>
  <c r="J137" i="45"/>
  <c r="P136" i="45"/>
  <c r="O136" i="45"/>
  <c r="M136" i="45"/>
  <c r="J136" i="45"/>
  <c r="P135" i="45"/>
  <c r="O135" i="45"/>
  <c r="M135" i="45"/>
  <c r="J135" i="45"/>
  <c r="P134" i="45"/>
  <c r="O134" i="45"/>
  <c r="M134" i="45"/>
  <c r="J134" i="45"/>
  <c r="P133" i="45"/>
  <c r="O133" i="45"/>
  <c r="M133" i="45"/>
  <c r="J133" i="45"/>
  <c r="P132" i="45"/>
  <c r="O132" i="45"/>
  <c r="M132" i="45"/>
  <c r="J132" i="45"/>
  <c r="P131" i="45"/>
  <c r="O131" i="45"/>
  <c r="M131" i="45"/>
  <c r="J131" i="45"/>
  <c r="O130" i="45"/>
  <c r="M130" i="45"/>
  <c r="O129" i="45"/>
  <c r="M129" i="45"/>
  <c r="O128" i="45"/>
  <c r="M128" i="45"/>
  <c r="O127" i="45"/>
  <c r="M127" i="45"/>
  <c r="O126" i="45"/>
  <c r="M126" i="45"/>
  <c r="O125" i="45"/>
  <c r="M125" i="45"/>
  <c r="O124" i="45"/>
  <c r="M124" i="45"/>
  <c r="O123" i="45"/>
  <c r="M123" i="45"/>
  <c r="O122" i="45"/>
  <c r="M122" i="45"/>
  <c r="O121" i="45"/>
  <c r="M121" i="45"/>
  <c r="O120" i="45"/>
  <c r="M120" i="45"/>
  <c r="O119" i="45"/>
  <c r="M119" i="45"/>
  <c r="O118" i="45"/>
  <c r="M118" i="45"/>
  <c r="O117" i="45"/>
  <c r="M117" i="45"/>
  <c r="O116" i="45"/>
  <c r="M116" i="45"/>
  <c r="O115" i="45"/>
  <c r="M115" i="45"/>
  <c r="O114" i="45"/>
  <c r="M114" i="45"/>
  <c r="O113" i="45"/>
  <c r="M113" i="45"/>
  <c r="O112" i="45"/>
  <c r="M112" i="45"/>
  <c r="O111" i="45"/>
  <c r="M111" i="45"/>
  <c r="O110" i="45"/>
  <c r="M110" i="45"/>
  <c r="O109" i="45"/>
  <c r="M109" i="45"/>
  <c r="O108" i="45"/>
  <c r="M108" i="45"/>
  <c r="O107" i="45"/>
  <c r="M107" i="45"/>
  <c r="O106" i="45"/>
  <c r="M106" i="45"/>
  <c r="O105" i="45"/>
  <c r="M105" i="45"/>
  <c r="O104" i="45"/>
  <c r="M104" i="45"/>
  <c r="O103" i="45"/>
  <c r="M103" i="45"/>
  <c r="O102" i="45"/>
  <c r="M102" i="45"/>
  <c r="O101" i="45"/>
  <c r="M101" i="45"/>
  <c r="O100" i="45"/>
  <c r="O99" i="45"/>
  <c r="C99" i="45"/>
  <c r="C100" i="45" s="1"/>
  <c r="C101" i="45" s="1"/>
  <c r="C102" i="45" s="1"/>
  <c r="C103" i="45" s="1"/>
  <c r="C104" i="45" s="1"/>
  <c r="C105" i="45" s="1"/>
  <c r="C106" i="45" s="1"/>
  <c r="C107" i="45" s="1"/>
  <c r="C108" i="45" s="1"/>
  <c r="C109" i="45" s="1"/>
  <c r="C110" i="45" s="1"/>
  <c r="C111" i="45" s="1"/>
  <c r="C112" i="45" s="1"/>
  <c r="C113" i="45" s="1"/>
  <c r="C114" i="45" s="1"/>
  <c r="C115" i="45" s="1"/>
  <c r="C116" i="45" s="1"/>
  <c r="C117" i="45" s="1"/>
  <c r="C118" i="45" s="1"/>
  <c r="C119" i="45" s="1"/>
  <c r="C120" i="45" s="1"/>
  <c r="C121" i="45" s="1"/>
  <c r="C122" i="45" s="1"/>
  <c r="C123" i="45" s="1"/>
  <c r="C124" i="45" s="1"/>
  <c r="C125" i="45" s="1"/>
  <c r="C126" i="45" s="1"/>
  <c r="C127" i="45" s="1"/>
  <c r="C128" i="45" s="1"/>
  <c r="C129" i="45" s="1"/>
  <c r="C130" i="45" s="1"/>
  <c r="C131" i="45" s="1"/>
  <c r="C132" i="45" s="1"/>
  <c r="C133" i="45" s="1"/>
  <c r="C134" i="45" s="1"/>
  <c r="C135" i="45" s="1"/>
  <c r="C136" i="45" s="1"/>
  <c r="C137" i="45" s="1"/>
  <c r="C138" i="45" s="1"/>
  <c r="C139" i="45" s="1"/>
  <c r="C140" i="45" s="1"/>
  <c r="C141" i="45" s="1"/>
  <c r="C142" i="45" s="1"/>
  <c r="C143" i="45" s="1"/>
  <c r="C144" i="45" s="1"/>
  <c r="C145" i="45" s="1"/>
  <c r="C146" i="45" s="1"/>
  <c r="C147" i="45" s="1"/>
  <c r="C148" i="45" s="1"/>
  <c r="C149" i="45" s="1"/>
  <c r="C150" i="45" s="1"/>
  <c r="C151" i="45" s="1"/>
  <c r="C152" i="45" s="1"/>
  <c r="C153" i="45" s="1"/>
  <c r="C154" i="45" s="1"/>
  <c r="D96" i="45"/>
  <c r="L93" i="45"/>
  <c r="J93" i="45"/>
  <c r="D91" i="45"/>
  <c r="D89" i="45"/>
  <c r="N72" i="45"/>
  <c r="L72" i="45"/>
  <c r="N71" i="45"/>
  <c r="L71" i="45"/>
  <c r="N70" i="45"/>
  <c r="L70" i="45"/>
  <c r="N69" i="45"/>
  <c r="L69" i="45"/>
  <c r="N68" i="45"/>
  <c r="L68" i="45"/>
  <c r="N67" i="45"/>
  <c r="L67" i="45"/>
  <c r="N66" i="45"/>
  <c r="L66" i="45"/>
  <c r="N65" i="45"/>
  <c r="L65" i="45"/>
  <c r="N64" i="45"/>
  <c r="L64" i="45"/>
  <c r="N63" i="45"/>
  <c r="L63" i="45"/>
  <c r="N62" i="45"/>
  <c r="L62" i="45"/>
  <c r="N61" i="45"/>
  <c r="L61" i="45"/>
  <c r="N60" i="45"/>
  <c r="L60" i="45"/>
  <c r="N59" i="45"/>
  <c r="L59" i="45"/>
  <c r="N58" i="45"/>
  <c r="L58" i="45"/>
  <c r="N57" i="45"/>
  <c r="L57" i="45"/>
  <c r="N56" i="45"/>
  <c r="L56" i="45"/>
  <c r="N55" i="45"/>
  <c r="L55" i="45"/>
  <c r="N54" i="45"/>
  <c r="L54" i="45"/>
  <c r="N53" i="45"/>
  <c r="L53" i="45"/>
  <c r="N52" i="45"/>
  <c r="L52" i="45"/>
  <c r="N51" i="45"/>
  <c r="L51" i="45"/>
  <c r="N50" i="45"/>
  <c r="L50" i="45"/>
  <c r="N49" i="45"/>
  <c r="L49" i="45"/>
  <c r="N48" i="45"/>
  <c r="L48" i="45"/>
  <c r="N47" i="45"/>
  <c r="L47" i="45"/>
  <c r="N46" i="45"/>
  <c r="L46" i="45"/>
  <c r="N45" i="45"/>
  <c r="L45" i="45"/>
  <c r="N44" i="45"/>
  <c r="L44" i="45"/>
  <c r="N43" i="45"/>
  <c r="L43" i="45"/>
  <c r="N42" i="45"/>
  <c r="L42" i="45"/>
  <c r="N41" i="45"/>
  <c r="L41" i="45"/>
  <c r="N40" i="45"/>
  <c r="L40" i="45"/>
  <c r="N39" i="45"/>
  <c r="L39" i="45"/>
  <c r="N38" i="45"/>
  <c r="L38" i="45"/>
  <c r="N37" i="45"/>
  <c r="L37" i="45"/>
  <c r="N36" i="45"/>
  <c r="L36" i="45"/>
  <c r="N35" i="45"/>
  <c r="L35" i="45"/>
  <c r="N34" i="45"/>
  <c r="L34" i="45"/>
  <c r="N33" i="45"/>
  <c r="L33" i="45"/>
  <c r="N32" i="45"/>
  <c r="L32" i="45"/>
  <c r="N31" i="45"/>
  <c r="L31" i="45"/>
  <c r="N30" i="45"/>
  <c r="L30" i="45"/>
  <c r="N29" i="45"/>
  <c r="L29" i="45"/>
  <c r="N28" i="45"/>
  <c r="L28" i="45"/>
  <c r="N27" i="45"/>
  <c r="L27" i="45"/>
  <c r="N26" i="45"/>
  <c r="L26" i="45"/>
  <c r="N25" i="45"/>
  <c r="L25" i="45"/>
  <c r="N24" i="45"/>
  <c r="L24" i="45"/>
  <c r="N23" i="45"/>
  <c r="L23" i="45"/>
  <c r="N22" i="45"/>
  <c r="L22" i="45"/>
  <c r="N21" i="45"/>
  <c r="L21" i="45"/>
  <c r="N20" i="45"/>
  <c r="L20" i="45"/>
  <c r="N19" i="45"/>
  <c r="N18" i="45"/>
  <c r="N17" i="45"/>
  <c r="C17" i="45"/>
  <c r="K11" i="45"/>
  <c r="I11" i="45"/>
  <c r="D90" i="45"/>
  <c r="P1" i="45"/>
  <c r="P83" i="45" s="1"/>
  <c r="P154" i="44"/>
  <c r="O154" i="44"/>
  <c r="M154" i="44"/>
  <c r="J154" i="44"/>
  <c r="P153" i="44"/>
  <c r="O153" i="44"/>
  <c r="M153" i="44"/>
  <c r="J153" i="44"/>
  <c r="P152" i="44"/>
  <c r="O152" i="44"/>
  <c r="M152" i="44"/>
  <c r="J152" i="44"/>
  <c r="P151" i="44"/>
  <c r="O151" i="44"/>
  <c r="M151" i="44"/>
  <c r="J151" i="44"/>
  <c r="P150" i="44"/>
  <c r="O150" i="44"/>
  <c r="M150" i="44"/>
  <c r="J150" i="44"/>
  <c r="P149" i="44"/>
  <c r="O149" i="44"/>
  <c r="M149" i="44"/>
  <c r="J149" i="44"/>
  <c r="P148" i="44"/>
  <c r="O148" i="44"/>
  <c r="M148" i="44"/>
  <c r="J148" i="44"/>
  <c r="P147" i="44"/>
  <c r="O147" i="44"/>
  <c r="M147" i="44"/>
  <c r="J147" i="44"/>
  <c r="P146" i="44"/>
  <c r="O146" i="44"/>
  <c r="M146" i="44"/>
  <c r="J146" i="44"/>
  <c r="P145" i="44"/>
  <c r="O145" i="44"/>
  <c r="M145" i="44"/>
  <c r="J145" i="44"/>
  <c r="P144" i="44"/>
  <c r="O144" i="44"/>
  <c r="M144" i="44"/>
  <c r="J144" i="44"/>
  <c r="P143" i="44"/>
  <c r="O143" i="44"/>
  <c r="M143" i="44"/>
  <c r="J143" i="44"/>
  <c r="P142" i="44"/>
  <c r="O142" i="44"/>
  <c r="M142" i="44"/>
  <c r="J142" i="44"/>
  <c r="P141" i="44"/>
  <c r="O141" i="44"/>
  <c r="M141" i="44"/>
  <c r="J141" i="44"/>
  <c r="P140" i="44"/>
  <c r="O140" i="44"/>
  <c r="M140" i="44"/>
  <c r="J140" i="44"/>
  <c r="P139" i="44"/>
  <c r="O139" i="44"/>
  <c r="M139" i="44"/>
  <c r="J139" i="44"/>
  <c r="P138" i="44"/>
  <c r="O138" i="44"/>
  <c r="M138" i="44"/>
  <c r="J138" i="44"/>
  <c r="P137" i="44"/>
  <c r="O137" i="44"/>
  <c r="M137" i="44"/>
  <c r="J137" i="44"/>
  <c r="P136" i="44"/>
  <c r="O136" i="44"/>
  <c r="M136" i="44"/>
  <c r="J136" i="44"/>
  <c r="P135" i="44"/>
  <c r="O135" i="44"/>
  <c r="M135" i="44"/>
  <c r="J135" i="44"/>
  <c r="P134" i="44"/>
  <c r="O134" i="44"/>
  <c r="M134" i="44"/>
  <c r="J134" i="44"/>
  <c r="P133" i="44"/>
  <c r="O133" i="44"/>
  <c r="M133" i="44"/>
  <c r="J133" i="44"/>
  <c r="P132" i="44"/>
  <c r="O132" i="44"/>
  <c r="M132" i="44"/>
  <c r="J132" i="44"/>
  <c r="P131" i="44"/>
  <c r="O131" i="44"/>
  <c r="M131" i="44"/>
  <c r="J131" i="44"/>
  <c r="O130" i="44"/>
  <c r="M130" i="44"/>
  <c r="O129" i="44"/>
  <c r="M129" i="44"/>
  <c r="O128" i="44"/>
  <c r="M128" i="44"/>
  <c r="O127" i="44"/>
  <c r="M127" i="44"/>
  <c r="O126" i="44"/>
  <c r="M126" i="44"/>
  <c r="O125" i="44"/>
  <c r="M125" i="44"/>
  <c r="O124" i="44"/>
  <c r="M124" i="44"/>
  <c r="O123" i="44"/>
  <c r="M123" i="44"/>
  <c r="O122" i="44"/>
  <c r="M122" i="44"/>
  <c r="O121" i="44"/>
  <c r="M121" i="44"/>
  <c r="O120" i="44"/>
  <c r="M120" i="44"/>
  <c r="O119" i="44"/>
  <c r="M119" i="44"/>
  <c r="O118" i="44"/>
  <c r="M118" i="44"/>
  <c r="O117" i="44"/>
  <c r="M117" i="44"/>
  <c r="O116" i="44"/>
  <c r="M116" i="44"/>
  <c r="O115" i="44"/>
  <c r="M115" i="44"/>
  <c r="O114" i="44"/>
  <c r="M114" i="44"/>
  <c r="O113" i="44"/>
  <c r="M113" i="44"/>
  <c r="O112" i="44"/>
  <c r="M112" i="44"/>
  <c r="O111" i="44"/>
  <c r="M111" i="44"/>
  <c r="O110" i="44"/>
  <c r="M110" i="44"/>
  <c r="O109" i="44"/>
  <c r="M109" i="44"/>
  <c r="O108" i="44"/>
  <c r="M108" i="44"/>
  <c r="O107" i="44"/>
  <c r="M107" i="44"/>
  <c r="O106" i="44"/>
  <c r="M106" i="44"/>
  <c r="O105" i="44"/>
  <c r="M105" i="44"/>
  <c r="O104" i="44"/>
  <c r="M104" i="44"/>
  <c r="O103" i="44"/>
  <c r="M103" i="44"/>
  <c r="O102" i="44"/>
  <c r="M102" i="44"/>
  <c r="O101" i="44"/>
  <c r="M101" i="44"/>
  <c r="O100" i="44"/>
  <c r="O99" i="44"/>
  <c r="C99" i="44"/>
  <c r="C100" i="44" s="1"/>
  <c r="C101" i="44" s="1"/>
  <c r="C102" i="44" s="1"/>
  <c r="C103" i="44" s="1"/>
  <c r="C104" i="44" s="1"/>
  <c r="C105" i="44" s="1"/>
  <c r="C106" i="44" s="1"/>
  <c r="C107" i="44" s="1"/>
  <c r="C108" i="44" s="1"/>
  <c r="C109" i="44" s="1"/>
  <c r="C110" i="44" s="1"/>
  <c r="C111" i="44" s="1"/>
  <c r="C112" i="44" s="1"/>
  <c r="C113" i="44" s="1"/>
  <c r="C114" i="44" s="1"/>
  <c r="C115" i="44" s="1"/>
  <c r="C116" i="44" s="1"/>
  <c r="C117" i="44" s="1"/>
  <c r="C118" i="44" s="1"/>
  <c r="C119" i="44" s="1"/>
  <c r="C120" i="44" s="1"/>
  <c r="C121" i="44" s="1"/>
  <c r="C122" i="44" s="1"/>
  <c r="C123" i="44" s="1"/>
  <c r="C124" i="44" s="1"/>
  <c r="C125" i="44" s="1"/>
  <c r="C126" i="44" s="1"/>
  <c r="C127" i="44" s="1"/>
  <c r="C128" i="44" s="1"/>
  <c r="C129" i="44" s="1"/>
  <c r="C130" i="44" s="1"/>
  <c r="C131" i="44" s="1"/>
  <c r="C132" i="44" s="1"/>
  <c r="C133" i="44" s="1"/>
  <c r="C134" i="44" s="1"/>
  <c r="C135" i="44" s="1"/>
  <c r="C136" i="44" s="1"/>
  <c r="C137" i="44" s="1"/>
  <c r="C138" i="44" s="1"/>
  <c r="C139" i="44" s="1"/>
  <c r="C140" i="44" s="1"/>
  <c r="C141" i="44" s="1"/>
  <c r="C142" i="44" s="1"/>
  <c r="C143" i="44" s="1"/>
  <c r="C144" i="44" s="1"/>
  <c r="C145" i="44" s="1"/>
  <c r="C146" i="44" s="1"/>
  <c r="C147" i="44" s="1"/>
  <c r="C148" i="44" s="1"/>
  <c r="C149" i="44" s="1"/>
  <c r="C150" i="44" s="1"/>
  <c r="C151" i="44" s="1"/>
  <c r="C152" i="44" s="1"/>
  <c r="C153" i="44" s="1"/>
  <c r="C154" i="44" s="1"/>
  <c r="D96" i="44"/>
  <c r="L93" i="44"/>
  <c r="J93" i="44"/>
  <c r="D91" i="44"/>
  <c r="D89" i="44"/>
  <c r="N72" i="44"/>
  <c r="L72" i="44"/>
  <c r="N71" i="44"/>
  <c r="L71" i="44"/>
  <c r="N70" i="44"/>
  <c r="L70" i="44"/>
  <c r="N69" i="44"/>
  <c r="L69" i="44"/>
  <c r="N68" i="44"/>
  <c r="L68" i="44"/>
  <c r="N67" i="44"/>
  <c r="L67" i="44"/>
  <c r="N66" i="44"/>
  <c r="L66" i="44"/>
  <c r="N65" i="44"/>
  <c r="L65" i="44"/>
  <c r="N64" i="44"/>
  <c r="L64" i="44"/>
  <c r="N63" i="44"/>
  <c r="L63" i="44"/>
  <c r="N62" i="44"/>
  <c r="L62" i="44"/>
  <c r="N61" i="44"/>
  <c r="L61" i="44"/>
  <c r="N60" i="44"/>
  <c r="L60" i="44"/>
  <c r="N59" i="44"/>
  <c r="L59" i="44"/>
  <c r="N58" i="44"/>
  <c r="L58" i="44"/>
  <c r="N57" i="44"/>
  <c r="L57" i="44"/>
  <c r="N56" i="44"/>
  <c r="L56" i="44"/>
  <c r="N55" i="44"/>
  <c r="L55" i="44"/>
  <c r="N54" i="44"/>
  <c r="L54" i="44"/>
  <c r="N53" i="44"/>
  <c r="L53" i="44"/>
  <c r="N52" i="44"/>
  <c r="L52" i="44"/>
  <c r="N51" i="44"/>
  <c r="L51" i="44"/>
  <c r="N50" i="44"/>
  <c r="L50" i="44"/>
  <c r="N49" i="44"/>
  <c r="L49" i="44"/>
  <c r="N48" i="44"/>
  <c r="L48" i="44"/>
  <c r="N47" i="44"/>
  <c r="L47" i="44"/>
  <c r="N46" i="44"/>
  <c r="L46" i="44"/>
  <c r="N45" i="44"/>
  <c r="L45" i="44"/>
  <c r="N44" i="44"/>
  <c r="L44" i="44"/>
  <c r="N43" i="44"/>
  <c r="L43" i="44"/>
  <c r="N42" i="44"/>
  <c r="L42" i="44"/>
  <c r="N41" i="44"/>
  <c r="L41" i="44"/>
  <c r="N40" i="44"/>
  <c r="L40" i="44"/>
  <c r="N39" i="44"/>
  <c r="L39" i="44"/>
  <c r="N38" i="44"/>
  <c r="L38" i="44"/>
  <c r="N37" i="44"/>
  <c r="L37" i="44"/>
  <c r="N36" i="44"/>
  <c r="L36" i="44"/>
  <c r="N35" i="44"/>
  <c r="L35" i="44"/>
  <c r="N34" i="44"/>
  <c r="L34" i="44"/>
  <c r="N33" i="44"/>
  <c r="L33" i="44"/>
  <c r="N32" i="44"/>
  <c r="L32" i="44"/>
  <c r="N31" i="44"/>
  <c r="L31" i="44"/>
  <c r="N30" i="44"/>
  <c r="L30" i="44"/>
  <c r="N29" i="44"/>
  <c r="L29" i="44"/>
  <c r="N28" i="44"/>
  <c r="L28" i="44"/>
  <c r="N27" i="44"/>
  <c r="L27" i="44"/>
  <c r="N26" i="44"/>
  <c r="L26" i="44"/>
  <c r="N25" i="44"/>
  <c r="L25" i="44"/>
  <c r="N24" i="44"/>
  <c r="L24" i="44"/>
  <c r="N23" i="44"/>
  <c r="L23" i="44"/>
  <c r="N22" i="44"/>
  <c r="L22" i="44"/>
  <c r="N21" i="44"/>
  <c r="L21" i="44"/>
  <c r="N20" i="44"/>
  <c r="L20" i="44"/>
  <c r="N19" i="44"/>
  <c r="N18" i="44"/>
  <c r="N17" i="44"/>
  <c r="C17" i="44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K11" i="44"/>
  <c r="I11" i="44"/>
  <c r="D90" i="44"/>
  <c r="P1" i="44"/>
  <c r="P83" i="44" s="1"/>
  <c r="P154" i="43"/>
  <c r="O154" i="43"/>
  <c r="M154" i="43"/>
  <c r="J154" i="43"/>
  <c r="P153" i="43"/>
  <c r="O153" i="43"/>
  <c r="M153" i="43"/>
  <c r="J153" i="43"/>
  <c r="P152" i="43"/>
  <c r="O152" i="43"/>
  <c r="M152" i="43"/>
  <c r="J152" i="43"/>
  <c r="P151" i="43"/>
  <c r="O151" i="43"/>
  <c r="M151" i="43"/>
  <c r="J151" i="43"/>
  <c r="P150" i="43"/>
  <c r="O150" i="43"/>
  <c r="M150" i="43"/>
  <c r="J150" i="43"/>
  <c r="P149" i="43"/>
  <c r="O149" i="43"/>
  <c r="M149" i="43"/>
  <c r="J149" i="43"/>
  <c r="P148" i="43"/>
  <c r="O148" i="43"/>
  <c r="M148" i="43"/>
  <c r="J148" i="43"/>
  <c r="P147" i="43"/>
  <c r="O147" i="43"/>
  <c r="M147" i="43"/>
  <c r="J147" i="43"/>
  <c r="P146" i="43"/>
  <c r="O146" i="43"/>
  <c r="M146" i="43"/>
  <c r="J146" i="43"/>
  <c r="P145" i="43"/>
  <c r="O145" i="43"/>
  <c r="M145" i="43"/>
  <c r="J145" i="43"/>
  <c r="P144" i="43"/>
  <c r="O144" i="43"/>
  <c r="M144" i="43"/>
  <c r="J144" i="43"/>
  <c r="P143" i="43"/>
  <c r="O143" i="43"/>
  <c r="M143" i="43"/>
  <c r="J143" i="43"/>
  <c r="P142" i="43"/>
  <c r="O142" i="43"/>
  <c r="M142" i="43"/>
  <c r="J142" i="43"/>
  <c r="P141" i="43"/>
  <c r="O141" i="43"/>
  <c r="M141" i="43"/>
  <c r="J141" i="43"/>
  <c r="P140" i="43"/>
  <c r="O140" i="43"/>
  <c r="M140" i="43"/>
  <c r="J140" i="43"/>
  <c r="P139" i="43"/>
  <c r="O139" i="43"/>
  <c r="M139" i="43"/>
  <c r="J139" i="43"/>
  <c r="P138" i="43"/>
  <c r="O138" i="43"/>
  <c r="M138" i="43"/>
  <c r="J138" i="43"/>
  <c r="P137" i="43"/>
  <c r="O137" i="43"/>
  <c r="M137" i="43"/>
  <c r="J137" i="43"/>
  <c r="P136" i="43"/>
  <c r="O136" i="43"/>
  <c r="M136" i="43"/>
  <c r="J136" i="43"/>
  <c r="P135" i="43"/>
  <c r="O135" i="43"/>
  <c r="M135" i="43"/>
  <c r="J135" i="43"/>
  <c r="P134" i="43"/>
  <c r="O134" i="43"/>
  <c r="M134" i="43"/>
  <c r="J134" i="43"/>
  <c r="P133" i="43"/>
  <c r="O133" i="43"/>
  <c r="M133" i="43"/>
  <c r="J133" i="43"/>
  <c r="P132" i="43"/>
  <c r="O132" i="43"/>
  <c r="M132" i="43"/>
  <c r="J132" i="43"/>
  <c r="P131" i="43"/>
  <c r="O131" i="43"/>
  <c r="M131" i="43"/>
  <c r="J131" i="43"/>
  <c r="O130" i="43"/>
  <c r="M130" i="43"/>
  <c r="O129" i="43"/>
  <c r="M129" i="43"/>
  <c r="O128" i="43"/>
  <c r="M128" i="43"/>
  <c r="O127" i="43"/>
  <c r="M127" i="43"/>
  <c r="O126" i="43"/>
  <c r="M126" i="43"/>
  <c r="O125" i="43"/>
  <c r="M125" i="43"/>
  <c r="O124" i="43"/>
  <c r="M124" i="43"/>
  <c r="O123" i="43"/>
  <c r="M123" i="43"/>
  <c r="O122" i="43"/>
  <c r="M122" i="43"/>
  <c r="O121" i="43"/>
  <c r="M121" i="43"/>
  <c r="O120" i="43"/>
  <c r="M120" i="43"/>
  <c r="O119" i="43"/>
  <c r="M119" i="43"/>
  <c r="O118" i="43"/>
  <c r="M118" i="43"/>
  <c r="O117" i="43"/>
  <c r="M117" i="43"/>
  <c r="O116" i="43"/>
  <c r="M116" i="43"/>
  <c r="O115" i="43"/>
  <c r="M115" i="43"/>
  <c r="O114" i="43"/>
  <c r="M114" i="43"/>
  <c r="O113" i="43"/>
  <c r="M113" i="43"/>
  <c r="O112" i="43"/>
  <c r="M112" i="43"/>
  <c r="O111" i="43"/>
  <c r="M111" i="43"/>
  <c r="O110" i="43"/>
  <c r="M110" i="43"/>
  <c r="O109" i="43"/>
  <c r="M109" i="43"/>
  <c r="O108" i="43"/>
  <c r="M108" i="43"/>
  <c r="O107" i="43"/>
  <c r="M107" i="43"/>
  <c r="O106" i="43"/>
  <c r="M106" i="43"/>
  <c r="O105" i="43"/>
  <c r="M105" i="43"/>
  <c r="O104" i="43"/>
  <c r="M104" i="43"/>
  <c r="O103" i="43"/>
  <c r="M103" i="43"/>
  <c r="O102" i="43"/>
  <c r="M102" i="43"/>
  <c r="O101" i="43"/>
  <c r="O100" i="43"/>
  <c r="C99" i="43"/>
  <c r="D96" i="43"/>
  <c r="L93" i="43"/>
  <c r="J93" i="43"/>
  <c r="D91" i="43"/>
  <c r="D89" i="43"/>
  <c r="N72" i="43"/>
  <c r="L72" i="43"/>
  <c r="N71" i="43"/>
  <c r="L71" i="43"/>
  <c r="N70" i="43"/>
  <c r="L70" i="43"/>
  <c r="N69" i="43"/>
  <c r="L69" i="43"/>
  <c r="N68" i="43"/>
  <c r="L68" i="43"/>
  <c r="N67" i="43"/>
  <c r="L67" i="43"/>
  <c r="N66" i="43"/>
  <c r="L66" i="43"/>
  <c r="N65" i="43"/>
  <c r="L65" i="43"/>
  <c r="N64" i="43"/>
  <c r="L64" i="43"/>
  <c r="N63" i="43"/>
  <c r="L63" i="43"/>
  <c r="N62" i="43"/>
  <c r="L62" i="43"/>
  <c r="N61" i="43"/>
  <c r="L61" i="43"/>
  <c r="N60" i="43"/>
  <c r="L60" i="43"/>
  <c r="N59" i="43"/>
  <c r="L59" i="43"/>
  <c r="N58" i="43"/>
  <c r="L58" i="43"/>
  <c r="N57" i="43"/>
  <c r="L57" i="43"/>
  <c r="N56" i="43"/>
  <c r="L56" i="43"/>
  <c r="N55" i="43"/>
  <c r="L55" i="43"/>
  <c r="N54" i="43"/>
  <c r="L54" i="43"/>
  <c r="N53" i="43"/>
  <c r="L53" i="43"/>
  <c r="N52" i="43"/>
  <c r="L52" i="43"/>
  <c r="N51" i="43"/>
  <c r="L51" i="43"/>
  <c r="N50" i="43"/>
  <c r="L50" i="43"/>
  <c r="N49" i="43"/>
  <c r="L49" i="43"/>
  <c r="N48" i="43"/>
  <c r="L48" i="43"/>
  <c r="N47" i="43"/>
  <c r="L47" i="43"/>
  <c r="N46" i="43"/>
  <c r="L46" i="43"/>
  <c r="N45" i="43"/>
  <c r="L45" i="43"/>
  <c r="N44" i="43"/>
  <c r="L44" i="43"/>
  <c r="N43" i="43"/>
  <c r="L43" i="43"/>
  <c r="N42" i="43"/>
  <c r="L42" i="43"/>
  <c r="N41" i="43"/>
  <c r="L41" i="43"/>
  <c r="N40" i="43"/>
  <c r="L40" i="43"/>
  <c r="N39" i="43"/>
  <c r="L39" i="43"/>
  <c r="N38" i="43"/>
  <c r="L38" i="43"/>
  <c r="N37" i="43"/>
  <c r="L37" i="43"/>
  <c r="N36" i="43"/>
  <c r="L36" i="43"/>
  <c r="N35" i="43"/>
  <c r="L35" i="43"/>
  <c r="N34" i="43"/>
  <c r="L34" i="43"/>
  <c r="N33" i="43"/>
  <c r="L33" i="43"/>
  <c r="N32" i="43"/>
  <c r="L32" i="43"/>
  <c r="N31" i="43"/>
  <c r="L31" i="43"/>
  <c r="N30" i="43"/>
  <c r="L30" i="43"/>
  <c r="N29" i="43"/>
  <c r="L29" i="43"/>
  <c r="N28" i="43"/>
  <c r="L28" i="43"/>
  <c r="N27" i="43"/>
  <c r="L27" i="43"/>
  <c r="N26" i="43"/>
  <c r="L26" i="43"/>
  <c r="N25" i="43"/>
  <c r="L25" i="43"/>
  <c r="N24" i="43"/>
  <c r="L24" i="43"/>
  <c r="N23" i="43"/>
  <c r="L23" i="43"/>
  <c r="N22" i="43"/>
  <c r="L22" i="43"/>
  <c r="N21" i="43"/>
  <c r="L21" i="43"/>
  <c r="N20" i="43"/>
  <c r="N19" i="43"/>
  <c r="N18" i="43"/>
  <c r="N17" i="43"/>
  <c r="L17" i="43"/>
  <c r="C17" i="43"/>
  <c r="K11" i="43"/>
  <c r="I11" i="43"/>
  <c r="D8" i="43"/>
  <c r="D90" i="43" s="1"/>
  <c r="P1" i="43"/>
  <c r="P83" i="43" s="1"/>
  <c r="M17" i="42"/>
  <c r="N17" i="42" s="1"/>
  <c r="K17" i="42"/>
  <c r="L17" i="42" s="1"/>
  <c r="M17" i="41"/>
  <c r="N17" i="41" s="1"/>
  <c r="K17" i="41"/>
  <c r="L17" i="41" s="1"/>
  <c r="M17" i="40"/>
  <c r="N17" i="40" s="1"/>
  <c r="K17" i="40"/>
  <c r="L17" i="40" s="1"/>
  <c r="N99" i="39"/>
  <c r="L99" i="39"/>
  <c r="M18" i="39"/>
  <c r="N18" i="39" s="1"/>
  <c r="K18" i="39"/>
  <c r="L18" i="39" s="1"/>
  <c r="O18" i="39" s="1"/>
  <c r="N99" i="38"/>
  <c r="L99" i="38"/>
  <c r="M18" i="38"/>
  <c r="K18" i="38"/>
  <c r="L18" i="38" s="1"/>
  <c r="N99" i="37"/>
  <c r="L99" i="37"/>
  <c r="M18" i="37"/>
  <c r="N18" i="37" s="1"/>
  <c r="K18" i="37"/>
  <c r="L18" i="37" s="1"/>
  <c r="N102" i="31"/>
  <c r="O102" i="31" s="1"/>
  <c r="L102" i="31"/>
  <c r="M102" i="31" s="1"/>
  <c r="P102" i="31" s="1"/>
  <c r="M21" i="31"/>
  <c r="N21" i="31" s="1"/>
  <c r="K21" i="31"/>
  <c r="L21" i="31" s="1"/>
  <c r="N101" i="30"/>
  <c r="O101" i="30" s="1"/>
  <c r="L101" i="30"/>
  <c r="M101" i="30" s="1"/>
  <c r="M20" i="30"/>
  <c r="N20" i="30" s="1"/>
  <c r="K20" i="30"/>
  <c r="N102" i="29"/>
  <c r="O102" i="29" s="1"/>
  <c r="L102" i="29"/>
  <c r="M102" i="29" s="1"/>
  <c r="P102" i="29" s="1"/>
  <c r="M21" i="29"/>
  <c r="N21" i="29" s="1"/>
  <c r="K21" i="29"/>
  <c r="L21" i="29" s="1"/>
  <c r="N102" i="28"/>
  <c r="O102" i="28" s="1"/>
  <c r="L102" i="28"/>
  <c r="M102" i="28" s="1"/>
  <c r="M21" i="28"/>
  <c r="N21" i="28" s="1"/>
  <c r="K21" i="28"/>
  <c r="L21" i="28"/>
  <c r="N103" i="27"/>
  <c r="O103" i="27" s="1"/>
  <c r="P103" i="27" s="1"/>
  <c r="L103" i="27"/>
  <c r="M103" i="27" s="1"/>
  <c r="M22" i="27"/>
  <c r="N22" i="27" s="1"/>
  <c r="K22" i="27"/>
  <c r="L22" i="27" s="1"/>
  <c r="N106" i="25"/>
  <c r="O106" i="25" s="1"/>
  <c r="L106" i="25"/>
  <c r="M106" i="25" s="1"/>
  <c r="P106" i="25" s="1"/>
  <c r="M25" i="25"/>
  <c r="N25" i="25" s="1"/>
  <c r="K25" i="25"/>
  <c r="L25" i="25" s="1"/>
  <c r="N104" i="24"/>
  <c r="O104" i="24"/>
  <c r="L104" i="24"/>
  <c r="M104" i="24" s="1"/>
  <c r="M23" i="24"/>
  <c r="N23" i="24" s="1"/>
  <c r="K23" i="24"/>
  <c r="L23" i="24" s="1"/>
  <c r="N105" i="23"/>
  <c r="O105" i="23"/>
  <c r="L105" i="23"/>
  <c r="M105" i="23" s="1"/>
  <c r="M24" i="23"/>
  <c r="N24" i="23" s="1"/>
  <c r="K24" i="23"/>
  <c r="L24" i="23" s="1"/>
  <c r="N106" i="22"/>
  <c r="O106" i="22"/>
  <c r="P106" i="22" s="1"/>
  <c r="L106" i="22"/>
  <c r="M106" i="22" s="1"/>
  <c r="M25" i="22"/>
  <c r="N25" i="22" s="1"/>
  <c r="K25" i="22"/>
  <c r="L25" i="22" s="1"/>
  <c r="N109" i="11"/>
  <c r="O109" i="11"/>
  <c r="L109" i="11"/>
  <c r="M109" i="11" s="1"/>
  <c r="M28" i="11"/>
  <c r="N28" i="11" s="1"/>
  <c r="K28" i="11"/>
  <c r="L28" i="11" s="1"/>
  <c r="N110" i="10"/>
  <c r="O110" i="10"/>
  <c r="L110" i="10"/>
  <c r="M110" i="10" s="1"/>
  <c r="M29" i="10"/>
  <c r="N29" i="10" s="1"/>
  <c r="K29" i="10"/>
  <c r="L29" i="10" s="1"/>
  <c r="N109" i="9"/>
  <c r="O109" i="9"/>
  <c r="L109" i="9"/>
  <c r="M109" i="9" s="1"/>
  <c r="M28" i="9"/>
  <c r="N28" i="9" s="1"/>
  <c r="K28" i="9"/>
  <c r="L28" i="9" s="1"/>
  <c r="N108" i="8"/>
  <c r="O108" i="8"/>
  <c r="P108" i="8" s="1"/>
  <c r="L108" i="8"/>
  <c r="M108" i="8" s="1"/>
  <c r="M27" i="8"/>
  <c r="N27" i="8" s="1"/>
  <c r="K27" i="8"/>
  <c r="L27" i="8" s="1"/>
  <c r="N110" i="7"/>
  <c r="O110" i="7"/>
  <c r="L110" i="7"/>
  <c r="M110" i="7" s="1"/>
  <c r="M29" i="7"/>
  <c r="N29" i="7" s="1"/>
  <c r="K29" i="7"/>
  <c r="L29" i="7" s="1"/>
  <c r="N108" i="6"/>
  <c r="O108" i="6"/>
  <c r="L108" i="6"/>
  <c r="M108" i="6" s="1"/>
  <c r="M27" i="6"/>
  <c r="N27" i="6" s="1"/>
  <c r="K27" i="6"/>
  <c r="L27" i="6" s="1"/>
  <c r="N107" i="5"/>
  <c r="O107" i="5"/>
  <c r="L107" i="5"/>
  <c r="M107" i="5" s="1"/>
  <c r="M26" i="5"/>
  <c r="N26" i="5" s="1"/>
  <c r="K26" i="5"/>
  <c r="L26" i="5" s="1"/>
  <c r="N107" i="4"/>
  <c r="O107" i="4" s="1"/>
  <c r="L107" i="4"/>
  <c r="M107" i="4" s="1"/>
  <c r="M26" i="4"/>
  <c r="N26" i="4" s="1"/>
  <c r="K26" i="4"/>
  <c r="L26" i="4" s="1"/>
  <c r="N107" i="3"/>
  <c r="O107" i="3"/>
  <c r="P107" i="3" s="1"/>
  <c r="L107" i="3"/>
  <c r="M107" i="3" s="1"/>
  <c r="M26" i="3"/>
  <c r="N26" i="3" s="1"/>
  <c r="K26" i="3"/>
  <c r="L26" i="3" s="1"/>
  <c r="D92" i="6"/>
  <c r="U2" i="17"/>
  <c r="M26" i="6"/>
  <c r="N26" i="6" s="1"/>
  <c r="L26" i="6"/>
  <c r="K26" i="6"/>
  <c r="M17" i="38"/>
  <c r="K17" i="38"/>
  <c r="L17" i="38"/>
  <c r="M17" i="39"/>
  <c r="K17" i="39"/>
  <c r="N101" i="31"/>
  <c r="O101" i="31" s="1"/>
  <c r="L101" i="31"/>
  <c r="M101" i="31" s="1"/>
  <c r="M20" i="31"/>
  <c r="N20" i="31"/>
  <c r="K20" i="31"/>
  <c r="M17" i="37"/>
  <c r="N17" i="37" s="1"/>
  <c r="K17" i="37"/>
  <c r="L17" i="37" s="1"/>
  <c r="W41" i="17"/>
  <c r="P41" i="17"/>
  <c r="W40" i="17"/>
  <c r="P40" i="17"/>
  <c r="M19" i="30"/>
  <c r="N19" i="30" s="1"/>
  <c r="K19" i="30"/>
  <c r="L19" i="30" s="1"/>
  <c r="N100" i="30"/>
  <c r="O100" i="30" s="1"/>
  <c r="L100" i="30"/>
  <c r="M100" i="30" s="1"/>
  <c r="M20" i="29"/>
  <c r="N20" i="29"/>
  <c r="O20" i="29" s="1"/>
  <c r="K20" i="29"/>
  <c r="L20" i="29" s="1"/>
  <c r="N101" i="29"/>
  <c r="O101" i="29"/>
  <c r="L101" i="29"/>
  <c r="M101" i="29" s="1"/>
  <c r="N101" i="28"/>
  <c r="O101" i="28"/>
  <c r="L101" i="28"/>
  <c r="M101" i="28" s="1"/>
  <c r="M20" i="28"/>
  <c r="N20" i="28" s="1"/>
  <c r="K20" i="28"/>
  <c r="L20" i="28" s="1"/>
  <c r="N102" i="27"/>
  <c r="O102" i="27" s="1"/>
  <c r="M102" i="27"/>
  <c r="L102" i="27"/>
  <c r="M21" i="27"/>
  <c r="N21" i="27" s="1"/>
  <c r="K21" i="27"/>
  <c r="L21" i="27"/>
  <c r="N105" i="25"/>
  <c r="O105" i="25"/>
  <c r="L105" i="25"/>
  <c r="M105" i="25" s="1"/>
  <c r="M24" i="25"/>
  <c r="N24" i="25" s="1"/>
  <c r="K24" i="25"/>
  <c r="L24" i="25" s="1"/>
  <c r="N103" i="24"/>
  <c r="O103" i="24" s="1"/>
  <c r="L103" i="24"/>
  <c r="M103" i="24" s="1"/>
  <c r="P103" i="24" s="1"/>
  <c r="M22" i="24"/>
  <c r="N22" i="24" s="1"/>
  <c r="K22" i="24"/>
  <c r="L22" i="24" s="1"/>
  <c r="N104" i="23"/>
  <c r="O104" i="23"/>
  <c r="P104" i="23" s="1"/>
  <c r="L104" i="23"/>
  <c r="M104" i="23"/>
  <c r="M23" i="23"/>
  <c r="N23" i="23" s="1"/>
  <c r="K23" i="23"/>
  <c r="L23" i="23" s="1"/>
  <c r="N105" i="22"/>
  <c r="O105" i="22" s="1"/>
  <c r="L105" i="22"/>
  <c r="M105" i="22"/>
  <c r="M24" i="22"/>
  <c r="N24" i="22" s="1"/>
  <c r="O24" i="22" s="1"/>
  <c r="K24" i="22"/>
  <c r="L24" i="22" s="1"/>
  <c r="N108" i="11"/>
  <c r="O108" i="11"/>
  <c r="L108" i="11"/>
  <c r="M108" i="11" s="1"/>
  <c r="P108" i="11" s="1"/>
  <c r="M27" i="11"/>
  <c r="N27" i="11"/>
  <c r="K27" i="11"/>
  <c r="L27" i="11" s="1"/>
  <c r="N109" i="10"/>
  <c r="O109" i="10"/>
  <c r="L109" i="10"/>
  <c r="M109" i="10" s="1"/>
  <c r="M28" i="10"/>
  <c r="N28" i="10"/>
  <c r="K28" i="10"/>
  <c r="L28" i="10" s="1"/>
  <c r="O28" i="10" s="1"/>
  <c r="N108" i="9"/>
  <c r="O108" i="9"/>
  <c r="L108" i="9"/>
  <c r="M108" i="9"/>
  <c r="M27" i="9"/>
  <c r="N27" i="9" s="1"/>
  <c r="K27" i="9"/>
  <c r="L27" i="9" s="1"/>
  <c r="N107" i="8"/>
  <c r="O107" i="8" s="1"/>
  <c r="L107" i="8"/>
  <c r="M107" i="8" s="1"/>
  <c r="M26" i="8"/>
  <c r="N26" i="8" s="1"/>
  <c r="K26" i="8"/>
  <c r="L26" i="8" s="1"/>
  <c r="N109" i="7"/>
  <c r="O109" i="7" s="1"/>
  <c r="P109" i="7" s="1"/>
  <c r="L109" i="7"/>
  <c r="M109" i="7" s="1"/>
  <c r="M28" i="7"/>
  <c r="N28" i="7" s="1"/>
  <c r="K28" i="7"/>
  <c r="L28" i="7" s="1"/>
  <c r="N107" i="6"/>
  <c r="O107" i="6" s="1"/>
  <c r="L107" i="6"/>
  <c r="M107" i="6" s="1"/>
  <c r="N106" i="5"/>
  <c r="O106" i="5" s="1"/>
  <c r="L106" i="5"/>
  <c r="M106" i="5" s="1"/>
  <c r="M25" i="5"/>
  <c r="N25" i="5" s="1"/>
  <c r="K25" i="5"/>
  <c r="L25" i="5" s="1"/>
  <c r="N106" i="4"/>
  <c r="O106" i="4"/>
  <c r="L106" i="4"/>
  <c r="M106" i="4" s="1"/>
  <c r="P106" i="4" s="1"/>
  <c r="M25" i="4"/>
  <c r="N25" i="4"/>
  <c r="K25" i="4"/>
  <c r="L25" i="4" s="1"/>
  <c r="N106" i="3"/>
  <c r="O106" i="3" s="1"/>
  <c r="L106" i="3"/>
  <c r="M106" i="3" s="1"/>
  <c r="M25" i="3"/>
  <c r="N25" i="3" s="1"/>
  <c r="L25" i="3"/>
  <c r="K25" i="3"/>
  <c r="P154" i="42"/>
  <c r="O154" i="42"/>
  <c r="M154" i="42"/>
  <c r="J154" i="42"/>
  <c r="P153" i="42"/>
  <c r="O153" i="42"/>
  <c r="M153" i="42"/>
  <c r="J153" i="42"/>
  <c r="P152" i="42"/>
  <c r="O152" i="42"/>
  <c r="M152" i="42"/>
  <c r="J152" i="42"/>
  <c r="P151" i="42"/>
  <c r="O151" i="42"/>
  <c r="M151" i="42"/>
  <c r="J151" i="42"/>
  <c r="P150" i="42"/>
  <c r="O150" i="42"/>
  <c r="M150" i="42"/>
  <c r="J150" i="42"/>
  <c r="P149" i="42"/>
  <c r="O149" i="42"/>
  <c r="M149" i="42"/>
  <c r="J149" i="42"/>
  <c r="P148" i="42"/>
  <c r="O148" i="42"/>
  <c r="M148" i="42"/>
  <c r="J148" i="42"/>
  <c r="P147" i="42"/>
  <c r="O147" i="42"/>
  <c r="M147" i="42"/>
  <c r="J147" i="42"/>
  <c r="P146" i="42"/>
  <c r="O146" i="42"/>
  <c r="M146" i="42"/>
  <c r="J146" i="42"/>
  <c r="P145" i="42"/>
  <c r="O145" i="42"/>
  <c r="M145" i="42"/>
  <c r="J145" i="42"/>
  <c r="P144" i="42"/>
  <c r="O144" i="42"/>
  <c r="M144" i="42"/>
  <c r="J144" i="42"/>
  <c r="P143" i="42"/>
  <c r="O143" i="42"/>
  <c r="M143" i="42"/>
  <c r="J143" i="42"/>
  <c r="P142" i="42"/>
  <c r="O142" i="42"/>
  <c r="M142" i="42"/>
  <c r="J142" i="42"/>
  <c r="P141" i="42"/>
  <c r="O141" i="42"/>
  <c r="M141" i="42"/>
  <c r="J141" i="42"/>
  <c r="P140" i="42"/>
  <c r="O140" i="42"/>
  <c r="M140" i="42"/>
  <c r="J140" i="42"/>
  <c r="P139" i="42"/>
  <c r="O139" i="42"/>
  <c r="M139" i="42"/>
  <c r="J139" i="42"/>
  <c r="P138" i="42"/>
  <c r="O138" i="42"/>
  <c r="M138" i="42"/>
  <c r="J138" i="42"/>
  <c r="P137" i="42"/>
  <c r="O137" i="42"/>
  <c r="M137" i="42"/>
  <c r="J137" i="42"/>
  <c r="P136" i="42"/>
  <c r="O136" i="42"/>
  <c r="M136" i="42"/>
  <c r="J136" i="42"/>
  <c r="P135" i="42"/>
  <c r="O135" i="42"/>
  <c r="M135" i="42"/>
  <c r="J135" i="42"/>
  <c r="P134" i="42"/>
  <c r="O134" i="42"/>
  <c r="M134" i="42"/>
  <c r="J134" i="42"/>
  <c r="P133" i="42"/>
  <c r="O133" i="42"/>
  <c r="M133" i="42"/>
  <c r="J133" i="42"/>
  <c r="P132" i="42"/>
  <c r="O132" i="42"/>
  <c r="M132" i="42"/>
  <c r="J132" i="42"/>
  <c r="P131" i="42"/>
  <c r="O131" i="42"/>
  <c r="M131" i="42"/>
  <c r="J131" i="42"/>
  <c r="O130" i="42"/>
  <c r="M130" i="42"/>
  <c r="O129" i="42"/>
  <c r="M129" i="42"/>
  <c r="O128" i="42"/>
  <c r="M128" i="42"/>
  <c r="O127" i="42"/>
  <c r="M127" i="42"/>
  <c r="O126" i="42"/>
  <c r="M126" i="42"/>
  <c r="O125" i="42"/>
  <c r="M125" i="42"/>
  <c r="O124" i="42"/>
  <c r="M124" i="42"/>
  <c r="O123" i="42"/>
  <c r="M123" i="42"/>
  <c r="O122" i="42"/>
  <c r="M122" i="42"/>
  <c r="O121" i="42"/>
  <c r="M121" i="42"/>
  <c r="O120" i="42"/>
  <c r="M120" i="42"/>
  <c r="O119" i="42"/>
  <c r="M119" i="42"/>
  <c r="O118" i="42"/>
  <c r="M118" i="42"/>
  <c r="O117" i="42"/>
  <c r="M117" i="42"/>
  <c r="O116" i="42"/>
  <c r="M116" i="42"/>
  <c r="O115" i="42"/>
  <c r="M115" i="42"/>
  <c r="O114" i="42"/>
  <c r="M114" i="42"/>
  <c r="O113" i="42"/>
  <c r="M113" i="42"/>
  <c r="O112" i="42"/>
  <c r="M112" i="42"/>
  <c r="O111" i="42"/>
  <c r="M111" i="42"/>
  <c r="O110" i="42"/>
  <c r="M110" i="42"/>
  <c r="O109" i="42"/>
  <c r="M109" i="42"/>
  <c r="O108" i="42"/>
  <c r="M108" i="42"/>
  <c r="O107" i="42"/>
  <c r="M107" i="42"/>
  <c r="O106" i="42"/>
  <c r="M106" i="42"/>
  <c r="O105" i="42"/>
  <c r="M105" i="42"/>
  <c r="O104" i="42"/>
  <c r="M104" i="42"/>
  <c r="O103" i="42"/>
  <c r="M103" i="42"/>
  <c r="O102" i="42"/>
  <c r="M102" i="42"/>
  <c r="O101" i="42"/>
  <c r="O100" i="42"/>
  <c r="C99" i="42"/>
  <c r="D96" i="42"/>
  <c r="L93" i="42"/>
  <c r="J93" i="42"/>
  <c r="D91" i="42"/>
  <c r="D89" i="42"/>
  <c r="N72" i="42"/>
  <c r="L72" i="42"/>
  <c r="N71" i="42"/>
  <c r="L71" i="42"/>
  <c r="N70" i="42"/>
  <c r="L70" i="42"/>
  <c r="N69" i="42"/>
  <c r="L69" i="42"/>
  <c r="N68" i="42"/>
  <c r="L68" i="42"/>
  <c r="N67" i="42"/>
  <c r="L67" i="42"/>
  <c r="N66" i="42"/>
  <c r="L66" i="42"/>
  <c r="N65" i="42"/>
  <c r="L65" i="42"/>
  <c r="N64" i="42"/>
  <c r="L64" i="42"/>
  <c r="N63" i="42"/>
  <c r="L63" i="42"/>
  <c r="N62" i="42"/>
  <c r="L62" i="42"/>
  <c r="N61" i="42"/>
  <c r="L61" i="42"/>
  <c r="N60" i="42"/>
  <c r="L60" i="42"/>
  <c r="N59" i="42"/>
  <c r="L59" i="42"/>
  <c r="N58" i="42"/>
  <c r="L58" i="42"/>
  <c r="N57" i="42"/>
  <c r="L57" i="42"/>
  <c r="N56" i="42"/>
  <c r="L56" i="42"/>
  <c r="N55" i="42"/>
  <c r="L55" i="42"/>
  <c r="N54" i="42"/>
  <c r="L54" i="42"/>
  <c r="N53" i="42"/>
  <c r="L53" i="42"/>
  <c r="N52" i="42"/>
  <c r="L52" i="42"/>
  <c r="N51" i="42"/>
  <c r="L51" i="42"/>
  <c r="N50" i="42"/>
  <c r="L50" i="42"/>
  <c r="N49" i="42"/>
  <c r="L49" i="42"/>
  <c r="N48" i="42"/>
  <c r="L48" i="42"/>
  <c r="N47" i="42"/>
  <c r="L47" i="42"/>
  <c r="N46" i="42"/>
  <c r="L46" i="42"/>
  <c r="N45" i="42"/>
  <c r="L45" i="42"/>
  <c r="N44" i="42"/>
  <c r="L44" i="42"/>
  <c r="N43" i="42"/>
  <c r="L43" i="42"/>
  <c r="N42" i="42"/>
  <c r="L42" i="42"/>
  <c r="N41" i="42"/>
  <c r="L41" i="42"/>
  <c r="N40" i="42"/>
  <c r="L40" i="42"/>
  <c r="N39" i="42"/>
  <c r="L39" i="42"/>
  <c r="N38" i="42"/>
  <c r="L38" i="42"/>
  <c r="N37" i="42"/>
  <c r="L37" i="42"/>
  <c r="N36" i="42"/>
  <c r="L36" i="42"/>
  <c r="N35" i="42"/>
  <c r="L35" i="42"/>
  <c r="N34" i="42"/>
  <c r="L34" i="42"/>
  <c r="N33" i="42"/>
  <c r="L33" i="42"/>
  <c r="N32" i="42"/>
  <c r="L32" i="42"/>
  <c r="N31" i="42"/>
  <c r="L31" i="42"/>
  <c r="N30" i="42"/>
  <c r="L30" i="42"/>
  <c r="N29" i="42"/>
  <c r="L29" i="42"/>
  <c r="N28" i="42"/>
  <c r="L28" i="42"/>
  <c r="N27" i="42"/>
  <c r="L27" i="42"/>
  <c r="N26" i="42"/>
  <c r="L26" i="42"/>
  <c r="N25" i="42"/>
  <c r="L25" i="42"/>
  <c r="N24" i="42"/>
  <c r="L24" i="42"/>
  <c r="N23" i="42"/>
  <c r="L23" i="42"/>
  <c r="N22" i="42"/>
  <c r="L22" i="42"/>
  <c r="N21" i="42"/>
  <c r="L21" i="42"/>
  <c r="N20" i="42"/>
  <c r="N19" i="42"/>
  <c r="N18" i="42"/>
  <c r="C17" i="42"/>
  <c r="K11" i="42"/>
  <c r="I11" i="42"/>
  <c r="D8" i="42"/>
  <c r="D90" i="42" s="1"/>
  <c r="P1" i="42"/>
  <c r="P83" i="42" s="1"/>
  <c r="P154" i="41"/>
  <c r="O154" i="41"/>
  <c r="M154" i="41"/>
  <c r="J154" i="41"/>
  <c r="P153" i="41"/>
  <c r="O153" i="41"/>
  <c r="M153" i="41"/>
  <c r="J153" i="41"/>
  <c r="P152" i="41"/>
  <c r="O152" i="41"/>
  <c r="M152" i="41"/>
  <c r="J152" i="41"/>
  <c r="P151" i="41"/>
  <c r="O151" i="41"/>
  <c r="M151" i="41"/>
  <c r="J151" i="41"/>
  <c r="P150" i="41"/>
  <c r="O150" i="41"/>
  <c r="M150" i="41"/>
  <c r="J150" i="41"/>
  <c r="P149" i="41"/>
  <c r="O149" i="41"/>
  <c r="M149" i="41"/>
  <c r="J149" i="41"/>
  <c r="P148" i="41"/>
  <c r="O148" i="41"/>
  <c r="M148" i="41"/>
  <c r="J148" i="41"/>
  <c r="P147" i="41"/>
  <c r="O147" i="41"/>
  <c r="M147" i="41"/>
  <c r="J147" i="41"/>
  <c r="P146" i="41"/>
  <c r="O146" i="41"/>
  <c r="M146" i="41"/>
  <c r="J146" i="41"/>
  <c r="P145" i="41"/>
  <c r="O145" i="41"/>
  <c r="M145" i="41"/>
  <c r="J145" i="41"/>
  <c r="P144" i="41"/>
  <c r="O144" i="41"/>
  <c r="M144" i="41"/>
  <c r="J144" i="41"/>
  <c r="P143" i="41"/>
  <c r="O143" i="41"/>
  <c r="M143" i="41"/>
  <c r="J143" i="41"/>
  <c r="P142" i="41"/>
  <c r="O142" i="41"/>
  <c r="M142" i="41"/>
  <c r="J142" i="41"/>
  <c r="P141" i="41"/>
  <c r="O141" i="41"/>
  <c r="M141" i="41"/>
  <c r="J141" i="41"/>
  <c r="P140" i="41"/>
  <c r="O140" i="41"/>
  <c r="M140" i="41"/>
  <c r="J140" i="41"/>
  <c r="P139" i="41"/>
  <c r="O139" i="41"/>
  <c r="M139" i="41"/>
  <c r="J139" i="41"/>
  <c r="P138" i="41"/>
  <c r="O138" i="41"/>
  <c r="M138" i="41"/>
  <c r="J138" i="41"/>
  <c r="P137" i="41"/>
  <c r="O137" i="41"/>
  <c r="M137" i="41"/>
  <c r="J137" i="41"/>
  <c r="P136" i="41"/>
  <c r="O136" i="41"/>
  <c r="M136" i="41"/>
  <c r="J136" i="41"/>
  <c r="P135" i="41"/>
  <c r="O135" i="41"/>
  <c r="M135" i="41"/>
  <c r="J135" i="41"/>
  <c r="P134" i="41"/>
  <c r="O134" i="41"/>
  <c r="M134" i="41"/>
  <c r="J134" i="41"/>
  <c r="P133" i="41"/>
  <c r="O133" i="41"/>
  <c r="M133" i="41"/>
  <c r="J133" i="41"/>
  <c r="P132" i="41"/>
  <c r="O132" i="41"/>
  <c r="M132" i="41"/>
  <c r="J132" i="41"/>
  <c r="P131" i="41"/>
  <c r="O131" i="41"/>
  <c r="M131" i="41"/>
  <c r="J131" i="41"/>
  <c r="O130" i="41"/>
  <c r="M130" i="41"/>
  <c r="O129" i="41"/>
  <c r="M129" i="41"/>
  <c r="O128" i="41"/>
  <c r="M128" i="41"/>
  <c r="O127" i="41"/>
  <c r="M127" i="41"/>
  <c r="O126" i="41"/>
  <c r="M126" i="41"/>
  <c r="O125" i="41"/>
  <c r="M125" i="41"/>
  <c r="O124" i="41"/>
  <c r="M124" i="41"/>
  <c r="O123" i="41"/>
  <c r="M123" i="41"/>
  <c r="O122" i="41"/>
  <c r="M122" i="41"/>
  <c r="O121" i="41"/>
  <c r="M121" i="41"/>
  <c r="O120" i="41"/>
  <c r="M120" i="41"/>
  <c r="O119" i="41"/>
  <c r="M119" i="41"/>
  <c r="O118" i="41"/>
  <c r="M118" i="41"/>
  <c r="O117" i="41"/>
  <c r="M117" i="41"/>
  <c r="O116" i="41"/>
  <c r="M116" i="41"/>
  <c r="O115" i="41"/>
  <c r="M115" i="41"/>
  <c r="O114" i="41"/>
  <c r="M114" i="41"/>
  <c r="O113" i="41"/>
  <c r="M113" i="41"/>
  <c r="O112" i="41"/>
  <c r="M112" i="41"/>
  <c r="O111" i="41"/>
  <c r="M111" i="41"/>
  <c r="O110" i="41"/>
  <c r="M110" i="41"/>
  <c r="O109" i="41"/>
  <c r="M109" i="41"/>
  <c r="O108" i="41"/>
  <c r="M108" i="41"/>
  <c r="O107" i="41"/>
  <c r="M107" i="41"/>
  <c r="O106" i="41"/>
  <c r="M106" i="41"/>
  <c r="O105" i="41"/>
  <c r="M105" i="41"/>
  <c r="O104" i="41"/>
  <c r="M104" i="41"/>
  <c r="O103" i="41"/>
  <c r="M103" i="41"/>
  <c r="O102" i="41"/>
  <c r="M102" i="41"/>
  <c r="O101" i="41"/>
  <c r="O100" i="41"/>
  <c r="C99" i="41"/>
  <c r="D96" i="41"/>
  <c r="L93" i="41"/>
  <c r="J93" i="41"/>
  <c r="D91" i="41"/>
  <c r="D89" i="41"/>
  <c r="N72" i="41"/>
  <c r="L72" i="41"/>
  <c r="N71" i="41"/>
  <c r="L71" i="41"/>
  <c r="N70" i="41"/>
  <c r="L70" i="41"/>
  <c r="N69" i="41"/>
  <c r="L69" i="41"/>
  <c r="N68" i="41"/>
  <c r="L68" i="41"/>
  <c r="N67" i="41"/>
  <c r="L67" i="41"/>
  <c r="N66" i="41"/>
  <c r="L66" i="41"/>
  <c r="N65" i="41"/>
  <c r="L65" i="41"/>
  <c r="N64" i="41"/>
  <c r="L64" i="41"/>
  <c r="N63" i="41"/>
  <c r="L63" i="41"/>
  <c r="N62" i="41"/>
  <c r="L62" i="41"/>
  <c r="N61" i="41"/>
  <c r="L61" i="41"/>
  <c r="N60" i="41"/>
  <c r="L60" i="41"/>
  <c r="N59" i="41"/>
  <c r="L59" i="41"/>
  <c r="N58" i="41"/>
  <c r="L58" i="41"/>
  <c r="N57" i="41"/>
  <c r="L57" i="41"/>
  <c r="N56" i="41"/>
  <c r="L56" i="41"/>
  <c r="N55" i="41"/>
  <c r="L55" i="41"/>
  <c r="N54" i="41"/>
  <c r="L54" i="41"/>
  <c r="N53" i="41"/>
  <c r="L53" i="41"/>
  <c r="N52" i="41"/>
  <c r="L52" i="41"/>
  <c r="N51" i="41"/>
  <c r="L51" i="41"/>
  <c r="N50" i="41"/>
  <c r="L50" i="41"/>
  <c r="N49" i="41"/>
  <c r="L49" i="41"/>
  <c r="N48" i="41"/>
  <c r="L48" i="41"/>
  <c r="N47" i="41"/>
  <c r="L47" i="41"/>
  <c r="N46" i="41"/>
  <c r="L46" i="41"/>
  <c r="N45" i="41"/>
  <c r="L45" i="41"/>
  <c r="N44" i="41"/>
  <c r="L44" i="41"/>
  <c r="N43" i="41"/>
  <c r="L43" i="41"/>
  <c r="N42" i="41"/>
  <c r="L42" i="41"/>
  <c r="N41" i="41"/>
  <c r="L41" i="41"/>
  <c r="N40" i="41"/>
  <c r="L40" i="41"/>
  <c r="N39" i="41"/>
  <c r="L39" i="41"/>
  <c r="N38" i="41"/>
  <c r="L38" i="41"/>
  <c r="N37" i="41"/>
  <c r="L37" i="41"/>
  <c r="N36" i="41"/>
  <c r="L36" i="41"/>
  <c r="N35" i="41"/>
  <c r="L35" i="41"/>
  <c r="N34" i="41"/>
  <c r="L34" i="41"/>
  <c r="N33" i="41"/>
  <c r="L33" i="41"/>
  <c r="N32" i="41"/>
  <c r="L32" i="41"/>
  <c r="N31" i="41"/>
  <c r="L31" i="41"/>
  <c r="N30" i="41"/>
  <c r="L30" i="41"/>
  <c r="N29" i="41"/>
  <c r="L29" i="41"/>
  <c r="N28" i="41"/>
  <c r="L28" i="41"/>
  <c r="N27" i="41"/>
  <c r="L27" i="41"/>
  <c r="N26" i="41"/>
  <c r="L26" i="41"/>
  <c r="N25" i="41"/>
  <c r="L25" i="41"/>
  <c r="N24" i="41"/>
  <c r="L24" i="41"/>
  <c r="N23" i="41"/>
  <c r="L23" i="41"/>
  <c r="N22" i="41"/>
  <c r="L22" i="41"/>
  <c r="N21" i="41"/>
  <c r="L21" i="41"/>
  <c r="N20" i="41"/>
  <c r="N19" i="41"/>
  <c r="N18" i="41"/>
  <c r="C17" i="41"/>
  <c r="K11" i="41"/>
  <c r="I11" i="41"/>
  <c r="D8" i="41"/>
  <c r="D90" i="41" s="1"/>
  <c r="P1" i="41"/>
  <c r="P83" i="41" s="1"/>
  <c r="F66" i="2"/>
  <c r="C66" i="2"/>
  <c r="E17" i="1"/>
  <c r="F13" i="1"/>
  <c r="C80" i="1" s="1"/>
  <c r="F87" i="1"/>
  <c r="C81" i="1"/>
  <c r="C75" i="1"/>
  <c r="C64" i="1"/>
  <c r="C58" i="1"/>
  <c r="C47" i="1"/>
  <c r="C46" i="1"/>
  <c r="C45" i="1"/>
  <c r="C34" i="1"/>
  <c r="C31" i="1"/>
  <c r="C24" i="1"/>
  <c r="E17" i="13"/>
  <c r="J92" i="45"/>
  <c r="N100" i="31"/>
  <c r="O100" i="31"/>
  <c r="L100" i="31"/>
  <c r="M100" i="31" s="1"/>
  <c r="M19" i="31"/>
  <c r="N19" i="31" s="1"/>
  <c r="K19" i="31"/>
  <c r="L19" i="31"/>
  <c r="N99" i="30"/>
  <c r="L99" i="30"/>
  <c r="M99" i="30" s="1"/>
  <c r="M18" i="30"/>
  <c r="N18" i="30" s="1"/>
  <c r="K18" i="30"/>
  <c r="L18" i="30" s="1"/>
  <c r="N100" i="29"/>
  <c r="O100" i="29"/>
  <c r="L100" i="29"/>
  <c r="M100" i="29" s="1"/>
  <c r="M19" i="29"/>
  <c r="N19" i="29" s="1"/>
  <c r="K19" i="29"/>
  <c r="L19" i="29" s="1"/>
  <c r="N100" i="28"/>
  <c r="O100" i="28" s="1"/>
  <c r="L100" i="28"/>
  <c r="M100" i="28" s="1"/>
  <c r="M19" i="28"/>
  <c r="N19" i="28"/>
  <c r="K19" i="28"/>
  <c r="L19" i="28" s="1"/>
  <c r="N101" i="27"/>
  <c r="O101" i="27" s="1"/>
  <c r="P101" i="27" s="1"/>
  <c r="L101" i="27"/>
  <c r="M101" i="27"/>
  <c r="M20" i="27"/>
  <c r="N20" i="27"/>
  <c r="K20" i="27"/>
  <c r="L20" i="27" s="1"/>
  <c r="N104" i="25"/>
  <c r="O104" i="25" s="1"/>
  <c r="L104" i="25"/>
  <c r="M104" i="25" s="1"/>
  <c r="M23" i="25"/>
  <c r="N23" i="25" s="1"/>
  <c r="O23" i="25" s="1"/>
  <c r="K23" i="25"/>
  <c r="L23" i="25" s="1"/>
  <c r="N102" i="24"/>
  <c r="O102" i="24" s="1"/>
  <c r="P102" i="24"/>
  <c r="L102" i="24"/>
  <c r="M102" i="24"/>
  <c r="M21" i="24"/>
  <c r="N21" i="24"/>
  <c r="K21" i="24"/>
  <c r="L21" i="24" s="1"/>
  <c r="N103" i="23"/>
  <c r="O103" i="23" s="1"/>
  <c r="L103" i="23"/>
  <c r="M103" i="23" s="1"/>
  <c r="M22" i="23"/>
  <c r="N22" i="23" s="1"/>
  <c r="K22" i="23"/>
  <c r="L22" i="23" s="1"/>
  <c r="N104" i="22"/>
  <c r="O104" i="22"/>
  <c r="L104" i="22"/>
  <c r="M104" i="22" s="1"/>
  <c r="M23" i="22"/>
  <c r="N23" i="22" s="1"/>
  <c r="K23" i="22"/>
  <c r="L23" i="22"/>
  <c r="N107" i="11"/>
  <c r="O107" i="11" s="1"/>
  <c r="P107" i="11" s="1"/>
  <c r="L107" i="11"/>
  <c r="M107" i="11" s="1"/>
  <c r="M26" i="11"/>
  <c r="N26" i="11" s="1"/>
  <c r="K26" i="11"/>
  <c r="L26" i="11" s="1"/>
  <c r="N108" i="10"/>
  <c r="O108" i="10"/>
  <c r="L108" i="10"/>
  <c r="M108" i="10" s="1"/>
  <c r="M27" i="10"/>
  <c r="N27" i="10" s="1"/>
  <c r="K27" i="10"/>
  <c r="L27" i="10"/>
  <c r="N107" i="9"/>
  <c r="O107" i="9" s="1"/>
  <c r="L107" i="9"/>
  <c r="M107" i="9" s="1"/>
  <c r="M26" i="9"/>
  <c r="N26" i="9" s="1"/>
  <c r="O26" i="9" s="1"/>
  <c r="K26" i="9"/>
  <c r="L26" i="9" s="1"/>
  <c r="N106" i="8"/>
  <c r="O106" i="8" s="1"/>
  <c r="L106" i="8"/>
  <c r="M106" i="8" s="1"/>
  <c r="P106" i="8"/>
  <c r="M25" i="8"/>
  <c r="N25" i="8" s="1"/>
  <c r="K25" i="8"/>
  <c r="L25" i="8"/>
  <c r="N108" i="7"/>
  <c r="O108" i="7" s="1"/>
  <c r="P108" i="7" s="1"/>
  <c r="L108" i="7"/>
  <c r="M108" i="7"/>
  <c r="M27" i="7"/>
  <c r="N27" i="7"/>
  <c r="K27" i="7"/>
  <c r="L27" i="7"/>
  <c r="M25" i="6"/>
  <c r="N25" i="6"/>
  <c r="K25" i="6"/>
  <c r="L25" i="6" s="1"/>
  <c r="N106" i="6"/>
  <c r="O106" i="6" s="1"/>
  <c r="L106" i="6"/>
  <c r="M106" i="6"/>
  <c r="N105" i="5"/>
  <c r="O105" i="5"/>
  <c r="L105" i="5"/>
  <c r="M105" i="5" s="1"/>
  <c r="M24" i="5"/>
  <c r="N24" i="5" s="1"/>
  <c r="O24" i="5" s="1"/>
  <c r="K24" i="5"/>
  <c r="L24" i="5"/>
  <c r="N105" i="4"/>
  <c r="O105" i="4" s="1"/>
  <c r="P105" i="4" s="1"/>
  <c r="L105" i="4"/>
  <c r="M105" i="4" s="1"/>
  <c r="M24" i="4"/>
  <c r="N24" i="4" s="1"/>
  <c r="K24" i="4"/>
  <c r="L24" i="4" s="1"/>
  <c r="M24" i="3"/>
  <c r="N24" i="3" s="1"/>
  <c r="K24" i="3"/>
  <c r="L24" i="3" s="1"/>
  <c r="N105" i="3"/>
  <c r="O105" i="3"/>
  <c r="L105" i="3"/>
  <c r="M105" i="3" s="1"/>
  <c r="P39" i="17"/>
  <c r="P38" i="17"/>
  <c r="P37" i="17"/>
  <c r="P36" i="17"/>
  <c r="P1" i="40"/>
  <c r="P83" i="40" s="1"/>
  <c r="P1" i="39"/>
  <c r="P83" i="39" s="1"/>
  <c r="P1" i="38"/>
  <c r="P83" i="38" s="1"/>
  <c r="P1" i="37"/>
  <c r="P83" i="37" s="1"/>
  <c r="P154" i="40"/>
  <c r="O154" i="40"/>
  <c r="M154" i="40"/>
  <c r="J154" i="40"/>
  <c r="P153" i="40"/>
  <c r="O153" i="40"/>
  <c r="M153" i="40"/>
  <c r="J153" i="40"/>
  <c r="P152" i="40"/>
  <c r="O152" i="40"/>
  <c r="M152" i="40"/>
  <c r="J152" i="40"/>
  <c r="P151" i="40"/>
  <c r="O151" i="40"/>
  <c r="M151" i="40"/>
  <c r="J151" i="40"/>
  <c r="P150" i="40"/>
  <c r="O150" i="40"/>
  <c r="M150" i="40"/>
  <c r="J150" i="40"/>
  <c r="P149" i="40"/>
  <c r="O149" i="40"/>
  <c r="M149" i="40"/>
  <c r="J149" i="40"/>
  <c r="P148" i="40"/>
  <c r="O148" i="40"/>
  <c r="M148" i="40"/>
  <c r="J148" i="40"/>
  <c r="P147" i="40"/>
  <c r="O147" i="40"/>
  <c r="M147" i="40"/>
  <c r="J147" i="40"/>
  <c r="P146" i="40"/>
  <c r="O146" i="40"/>
  <c r="M146" i="40"/>
  <c r="J146" i="40"/>
  <c r="P145" i="40"/>
  <c r="O145" i="40"/>
  <c r="M145" i="40"/>
  <c r="J145" i="40"/>
  <c r="P144" i="40"/>
  <c r="O144" i="40"/>
  <c r="M144" i="40"/>
  <c r="J144" i="40"/>
  <c r="P143" i="40"/>
  <c r="O143" i="40"/>
  <c r="M143" i="40"/>
  <c r="J143" i="40"/>
  <c r="P142" i="40"/>
  <c r="O142" i="40"/>
  <c r="M142" i="40"/>
  <c r="J142" i="40"/>
  <c r="P141" i="40"/>
  <c r="O141" i="40"/>
  <c r="M141" i="40"/>
  <c r="J141" i="40"/>
  <c r="P140" i="40"/>
  <c r="O140" i="40"/>
  <c r="M140" i="40"/>
  <c r="J140" i="40"/>
  <c r="P139" i="40"/>
  <c r="O139" i="40"/>
  <c r="M139" i="40"/>
  <c r="J139" i="40"/>
  <c r="P138" i="40"/>
  <c r="O138" i="40"/>
  <c r="M138" i="40"/>
  <c r="J138" i="40"/>
  <c r="P137" i="40"/>
  <c r="O137" i="40"/>
  <c r="M137" i="40"/>
  <c r="J137" i="40"/>
  <c r="P136" i="40"/>
  <c r="O136" i="40"/>
  <c r="M136" i="40"/>
  <c r="J136" i="40"/>
  <c r="P135" i="40"/>
  <c r="O135" i="40"/>
  <c r="M135" i="40"/>
  <c r="J135" i="40"/>
  <c r="P134" i="40"/>
  <c r="O134" i="40"/>
  <c r="M134" i="40"/>
  <c r="J134" i="40"/>
  <c r="P133" i="40"/>
  <c r="O133" i="40"/>
  <c r="M133" i="40"/>
  <c r="J133" i="40"/>
  <c r="P132" i="40"/>
  <c r="O132" i="40"/>
  <c r="M132" i="40"/>
  <c r="J132" i="40"/>
  <c r="P131" i="40"/>
  <c r="O131" i="40"/>
  <c r="M131" i="40"/>
  <c r="J131" i="40"/>
  <c r="O130" i="40"/>
  <c r="M130" i="40"/>
  <c r="O129" i="40"/>
  <c r="M129" i="40"/>
  <c r="O128" i="40"/>
  <c r="M128" i="40"/>
  <c r="O127" i="40"/>
  <c r="M127" i="40"/>
  <c r="O126" i="40"/>
  <c r="M126" i="40"/>
  <c r="O125" i="40"/>
  <c r="M125" i="40"/>
  <c r="O124" i="40"/>
  <c r="M124" i="40"/>
  <c r="O123" i="40"/>
  <c r="M123" i="40"/>
  <c r="O122" i="40"/>
  <c r="M122" i="40"/>
  <c r="O121" i="40"/>
  <c r="M121" i="40"/>
  <c r="O120" i="40"/>
  <c r="M120" i="40"/>
  <c r="O119" i="40"/>
  <c r="M119" i="40"/>
  <c r="O118" i="40"/>
  <c r="M118" i="40"/>
  <c r="O117" i="40"/>
  <c r="M117" i="40"/>
  <c r="O116" i="40"/>
  <c r="M116" i="40"/>
  <c r="O115" i="40"/>
  <c r="M115" i="40"/>
  <c r="O114" i="40"/>
  <c r="M114" i="40"/>
  <c r="O113" i="40"/>
  <c r="M113" i="40"/>
  <c r="O112" i="40"/>
  <c r="M112" i="40"/>
  <c r="O111" i="40"/>
  <c r="M111" i="40"/>
  <c r="O110" i="40"/>
  <c r="M110" i="40"/>
  <c r="O109" i="40"/>
  <c r="M109" i="40"/>
  <c r="O108" i="40"/>
  <c r="M108" i="40"/>
  <c r="O107" i="40"/>
  <c r="M107" i="40"/>
  <c r="O106" i="40"/>
  <c r="M106" i="40"/>
  <c r="O105" i="40"/>
  <c r="M105" i="40"/>
  <c r="O104" i="40"/>
  <c r="M104" i="40"/>
  <c r="O103" i="40"/>
  <c r="M103" i="40"/>
  <c r="O102" i="40"/>
  <c r="M102" i="40"/>
  <c r="O101" i="40"/>
  <c r="O100" i="40"/>
  <c r="D96" i="40"/>
  <c r="L93" i="40"/>
  <c r="J93" i="40"/>
  <c r="D91" i="40"/>
  <c r="D89" i="40"/>
  <c r="N72" i="40"/>
  <c r="L72" i="40"/>
  <c r="N71" i="40"/>
  <c r="L71" i="40"/>
  <c r="N70" i="40"/>
  <c r="L70" i="40"/>
  <c r="N69" i="40"/>
  <c r="L69" i="40"/>
  <c r="N68" i="40"/>
  <c r="L68" i="40"/>
  <c r="N67" i="40"/>
  <c r="L67" i="40"/>
  <c r="N66" i="40"/>
  <c r="L66" i="40"/>
  <c r="N65" i="40"/>
  <c r="L65" i="40"/>
  <c r="N64" i="40"/>
  <c r="L64" i="40"/>
  <c r="N63" i="40"/>
  <c r="L63" i="40"/>
  <c r="N62" i="40"/>
  <c r="L62" i="40"/>
  <c r="N61" i="40"/>
  <c r="L61" i="40"/>
  <c r="N60" i="40"/>
  <c r="L60" i="40"/>
  <c r="N59" i="40"/>
  <c r="L59" i="40"/>
  <c r="N58" i="40"/>
  <c r="L58" i="40"/>
  <c r="N57" i="40"/>
  <c r="L57" i="40"/>
  <c r="N56" i="40"/>
  <c r="L56" i="40"/>
  <c r="N55" i="40"/>
  <c r="L55" i="40"/>
  <c r="N54" i="40"/>
  <c r="L54" i="40"/>
  <c r="N53" i="40"/>
  <c r="L53" i="40"/>
  <c r="N52" i="40"/>
  <c r="L52" i="40"/>
  <c r="N51" i="40"/>
  <c r="L51" i="40"/>
  <c r="N50" i="40"/>
  <c r="L50" i="40"/>
  <c r="N49" i="40"/>
  <c r="L49" i="40"/>
  <c r="N48" i="40"/>
  <c r="L48" i="40"/>
  <c r="N47" i="40"/>
  <c r="L47" i="40"/>
  <c r="N46" i="40"/>
  <c r="L46" i="40"/>
  <c r="N45" i="40"/>
  <c r="L45" i="40"/>
  <c r="N44" i="40"/>
  <c r="L44" i="40"/>
  <c r="N43" i="40"/>
  <c r="L43" i="40"/>
  <c r="N42" i="40"/>
  <c r="L42" i="40"/>
  <c r="N41" i="40"/>
  <c r="L41" i="40"/>
  <c r="N40" i="40"/>
  <c r="L40" i="40"/>
  <c r="N39" i="40"/>
  <c r="L39" i="40"/>
  <c r="N38" i="40"/>
  <c r="L38" i="40"/>
  <c r="N37" i="40"/>
  <c r="L37" i="40"/>
  <c r="N36" i="40"/>
  <c r="L36" i="40"/>
  <c r="N35" i="40"/>
  <c r="L35" i="40"/>
  <c r="N34" i="40"/>
  <c r="L34" i="40"/>
  <c r="N33" i="40"/>
  <c r="L33" i="40"/>
  <c r="N32" i="40"/>
  <c r="L32" i="40"/>
  <c r="N31" i="40"/>
  <c r="L31" i="40"/>
  <c r="N30" i="40"/>
  <c r="L30" i="40"/>
  <c r="N29" i="40"/>
  <c r="L29" i="40"/>
  <c r="N28" i="40"/>
  <c r="L28" i="40"/>
  <c r="N27" i="40"/>
  <c r="L27" i="40"/>
  <c r="N26" i="40"/>
  <c r="L26" i="40"/>
  <c r="N25" i="40"/>
  <c r="L25" i="40"/>
  <c r="N24" i="40"/>
  <c r="L24" i="40"/>
  <c r="N23" i="40"/>
  <c r="L23" i="40"/>
  <c r="N22" i="40"/>
  <c r="L22" i="40"/>
  <c r="N21" i="40"/>
  <c r="L21" i="40"/>
  <c r="N20" i="40"/>
  <c r="N19" i="40"/>
  <c r="N18" i="40"/>
  <c r="O18" i="40" s="1"/>
  <c r="C17" i="40"/>
  <c r="C18" i="40" s="1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K11" i="40"/>
  <c r="I11" i="40"/>
  <c r="D8" i="40"/>
  <c r="D90" i="40"/>
  <c r="P154" i="39"/>
  <c r="O154" i="39"/>
  <c r="M154" i="39"/>
  <c r="J154" i="39"/>
  <c r="P153" i="39"/>
  <c r="O153" i="39"/>
  <c r="M153" i="39"/>
  <c r="J153" i="39"/>
  <c r="P152" i="39"/>
  <c r="O152" i="39"/>
  <c r="M152" i="39"/>
  <c r="J152" i="39"/>
  <c r="P151" i="39"/>
  <c r="O151" i="39"/>
  <c r="M151" i="39"/>
  <c r="J151" i="39"/>
  <c r="P150" i="39"/>
  <c r="O150" i="39"/>
  <c r="M150" i="39"/>
  <c r="J150" i="39"/>
  <c r="P149" i="39"/>
  <c r="O149" i="39"/>
  <c r="M149" i="39"/>
  <c r="J149" i="39"/>
  <c r="P148" i="39"/>
  <c r="O148" i="39"/>
  <c r="M148" i="39"/>
  <c r="J148" i="39"/>
  <c r="P147" i="39"/>
  <c r="O147" i="39"/>
  <c r="M147" i="39"/>
  <c r="J147" i="39"/>
  <c r="P146" i="39"/>
  <c r="O146" i="39"/>
  <c r="M146" i="39"/>
  <c r="J146" i="39"/>
  <c r="P145" i="39"/>
  <c r="O145" i="39"/>
  <c r="M145" i="39"/>
  <c r="J145" i="39"/>
  <c r="P144" i="39"/>
  <c r="O144" i="39"/>
  <c r="M144" i="39"/>
  <c r="J144" i="39"/>
  <c r="P143" i="39"/>
  <c r="O143" i="39"/>
  <c r="M143" i="39"/>
  <c r="J143" i="39"/>
  <c r="P142" i="39"/>
  <c r="O142" i="39"/>
  <c r="M142" i="39"/>
  <c r="J142" i="39"/>
  <c r="P141" i="39"/>
  <c r="O141" i="39"/>
  <c r="M141" i="39"/>
  <c r="J141" i="39"/>
  <c r="P140" i="39"/>
  <c r="O140" i="39"/>
  <c r="M140" i="39"/>
  <c r="J140" i="39"/>
  <c r="P139" i="39"/>
  <c r="O139" i="39"/>
  <c r="M139" i="39"/>
  <c r="J139" i="39"/>
  <c r="P138" i="39"/>
  <c r="O138" i="39"/>
  <c r="M138" i="39"/>
  <c r="J138" i="39"/>
  <c r="P137" i="39"/>
  <c r="O137" i="39"/>
  <c r="M137" i="39"/>
  <c r="J137" i="39"/>
  <c r="P136" i="39"/>
  <c r="O136" i="39"/>
  <c r="M136" i="39"/>
  <c r="J136" i="39"/>
  <c r="P135" i="39"/>
  <c r="O135" i="39"/>
  <c r="M135" i="39"/>
  <c r="J135" i="39"/>
  <c r="P134" i="39"/>
  <c r="O134" i="39"/>
  <c r="M134" i="39"/>
  <c r="J134" i="39"/>
  <c r="P133" i="39"/>
  <c r="O133" i="39"/>
  <c r="M133" i="39"/>
  <c r="J133" i="39"/>
  <c r="P132" i="39"/>
  <c r="O132" i="39"/>
  <c r="M132" i="39"/>
  <c r="J132" i="39"/>
  <c r="P131" i="39"/>
  <c r="O131" i="39"/>
  <c r="M131" i="39"/>
  <c r="J131" i="39"/>
  <c r="O130" i="39"/>
  <c r="M130" i="39"/>
  <c r="O129" i="39"/>
  <c r="M129" i="39"/>
  <c r="O128" i="39"/>
  <c r="M128" i="39"/>
  <c r="O127" i="39"/>
  <c r="M127" i="39"/>
  <c r="O126" i="39"/>
  <c r="M126" i="39"/>
  <c r="O125" i="39"/>
  <c r="M125" i="39"/>
  <c r="O124" i="39"/>
  <c r="M124" i="39"/>
  <c r="O123" i="39"/>
  <c r="M123" i="39"/>
  <c r="O122" i="39"/>
  <c r="M122" i="39"/>
  <c r="O121" i="39"/>
  <c r="M121" i="39"/>
  <c r="O120" i="39"/>
  <c r="M120" i="39"/>
  <c r="O119" i="39"/>
  <c r="M119" i="39"/>
  <c r="O118" i="39"/>
  <c r="M118" i="39"/>
  <c r="O117" i="39"/>
  <c r="M117" i="39"/>
  <c r="O116" i="39"/>
  <c r="M116" i="39"/>
  <c r="O115" i="39"/>
  <c r="M115" i="39"/>
  <c r="O114" i="39"/>
  <c r="M114" i="39"/>
  <c r="O113" i="39"/>
  <c r="M113" i="39"/>
  <c r="O112" i="39"/>
  <c r="M112" i="39"/>
  <c r="O111" i="39"/>
  <c r="M111" i="39"/>
  <c r="O110" i="39"/>
  <c r="M110" i="39"/>
  <c r="O109" i="39"/>
  <c r="M109" i="39"/>
  <c r="O108" i="39"/>
  <c r="M108" i="39"/>
  <c r="O107" i="39"/>
  <c r="M107" i="39"/>
  <c r="O106" i="39"/>
  <c r="M106" i="39"/>
  <c r="O105" i="39"/>
  <c r="M105" i="39"/>
  <c r="O104" i="39"/>
  <c r="M104" i="39"/>
  <c r="O103" i="39"/>
  <c r="M103" i="39"/>
  <c r="O102" i="39"/>
  <c r="O101" i="39"/>
  <c r="O99" i="39"/>
  <c r="M99" i="39"/>
  <c r="D96" i="39"/>
  <c r="L93" i="39"/>
  <c r="J93" i="39"/>
  <c r="D91" i="39"/>
  <c r="D89" i="39"/>
  <c r="N72" i="39"/>
  <c r="L72" i="39"/>
  <c r="N71" i="39"/>
  <c r="L71" i="39"/>
  <c r="N70" i="39"/>
  <c r="L70" i="39"/>
  <c r="N69" i="39"/>
  <c r="L69" i="39"/>
  <c r="N68" i="39"/>
  <c r="L68" i="39"/>
  <c r="N67" i="39"/>
  <c r="L67" i="39"/>
  <c r="O67" i="39" s="1"/>
  <c r="N66" i="39"/>
  <c r="L66" i="39"/>
  <c r="N65" i="39"/>
  <c r="L65" i="39"/>
  <c r="N64" i="39"/>
  <c r="L64" i="39"/>
  <c r="N63" i="39"/>
  <c r="L63" i="39"/>
  <c r="N62" i="39"/>
  <c r="L62" i="39"/>
  <c r="N61" i="39"/>
  <c r="L61" i="39"/>
  <c r="N60" i="39"/>
  <c r="L60" i="39"/>
  <c r="N59" i="39"/>
  <c r="L59" i="39"/>
  <c r="N58" i="39"/>
  <c r="L58" i="39"/>
  <c r="N57" i="39"/>
  <c r="L57" i="39"/>
  <c r="N56" i="39"/>
  <c r="L56" i="39"/>
  <c r="N55" i="39"/>
  <c r="L55" i="39"/>
  <c r="N54" i="39"/>
  <c r="L54" i="39"/>
  <c r="N53" i="39"/>
  <c r="L53" i="39"/>
  <c r="N52" i="39"/>
  <c r="L52" i="39"/>
  <c r="N51" i="39"/>
  <c r="L51" i="39"/>
  <c r="N50" i="39"/>
  <c r="L50" i="39"/>
  <c r="N49" i="39"/>
  <c r="L49" i="39"/>
  <c r="N48" i="39"/>
  <c r="L48" i="39"/>
  <c r="N47" i="39"/>
  <c r="L47" i="39"/>
  <c r="N46" i="39"/>
  <c r="L46" i="39"/>
  <c r="N45" i="39"/>
  <c r="L45" i="39"/>
  <c r="O45" i="39" s="1"/>
  <c r="N44" i="39"/>
  <c r="L44" i="39"/>
  <c r="N43" i="39"/>
  <c r="L43" i="39"/>
  <c r="N42" i="39"/>
  <c r="L42" i="39"/>
  <c r="N41" i="39"/>
  <c r="L41" i="39"/>
  <c r="N40" i="39"/>
  <c r="L40" i="39"/>
  <c r="N39" i="39"/>
  <c r="L39" i="39"/>
  <c r="N38" i="39"/>
  <c r="L38" i="39"/>
  <c r="N37" i="39"/>
  <c r="L37" i="39"/>
  <c r="N36" i="39"/>
  <c r="L36" i="39"/>
  <c r="N35" i="39"/>
  <c r="L35" i="39"/>
  <c r="O35" i="39" s="1"/>
  <c r="N34" i="39"/>
  <c r="L34" i="39"/>
  <c r="N33" i="39"/>
  <c r="L33" i="39"/>
  <c r="N32" i="39"/>
  <c r="L32" i="39"/>
  <c r="N31" i="39"/>
  <c r="L31" i="39"/>
  <c r="O31" i="39" s="1"/>
  <c r="N30" i="39"/>
  <c r="L30" i="39"/>
  <c r="N29" i="39"/>
  <c r="L29" i="39"/>
  <c r="N28" i="39"/>
  <c r="L28" i="39"/>
  <c r="N27" i="39"/>
  <c r="L27" i="39"/>
  <c r="N26" i="39"/>
  <c r="L26" i="39"/>
  <c r="N25" i="39"/>
  <c r="L25" i="39"/>
  <c r="N24" i="39"/>
  <c r="L24" i="39"/>
  <c r="N23" i="39"/>
  <c r="L23" i="39"/>
  <c r="N22" i="39"/>
  <c r="L22" i="39"/>
  <c r="N21" i="39"/>
  <c r="N20" i="39"/>
  <c r="N19" i="39"/>
  <c r="N17" i="39"/>
  <c r="L17" i="39"/>
  <c r="O17" i="39"/>
  <c r="C17" i="39"/>
  <c r="C18" i="39" s="1"/>
  <c r="C19" i="39" s="1"/>
  <c r="C20" i="39" s="1"/>
  <c r="C21" i="39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K11" i="39"/>
  <c r="I11" i="39"/>
  <c r="D8" i="39"/>
  <c r="D90" i="39" s="1"/>
  <c r="P154" i="38"/>
  <c r="O154" i="38"/>
  <c r="M154" i="38"/>
  <c r="J154" i="38"/>
  <c r="P153" i="38"/>
  <c r="O153" i="38"/>
  <c r="M153" i="38"/>
  <c r="J153" i="38"/>
  <c r="P152" i="38"/>
  <c r="O152" i="38"/>
  <c r="M152" i="38"/>
  <c r="J152" i="38"/>
  <c r="P151" i="38"/>
  <c r="O151" i="38"/>
  <c r="M151" i="38"/>
  <c r="J151" i="38"/>
  <c r="P150" i="38"/>
  <c r="O150" i="38"/>
  <c r="M150" i="38"/>
  <c r="J150" i="38"/>
  <c r="P149" i="38"/>
  <c r="O149" i="38"/>
  <c r="M149" i="38"/>
  <c r="J149" i="38"/>
  <c r="P148" i="38"/>
  <c r="O148" i="38"/>
  <c r="M148" i="38"/>
  <c r="J148" i="38"/>
  <c r="P147" i="38"/>
  <c r="O147" i="38"/>
  <c r="M147" i="38"/>
  <c r="J147" i="38"/>
  <c r="P146" i="38"/>
  <c r="O146" i="38"/>
  <c r="M146" i="38"/>
  <c r="J146" i="38"/>
  <c r="P145" i="38"/>
  <c r="O145" i="38"/>
  <c r="M145" i="38"/>
  <c r="J145" i="38"/>
  <c r="P144" i="38"/>
  <c r="O144" i="38"/>
  <c r="M144" i="38"/>
  <c r="J144" i="38"/>
  <c r="P143" i="38"/>
  <c r="O143" i="38"/>
  <c r="M143" i="38"/>
  <c r="J143" i="38"/>
  <c r="P142" i="38"/>
  <c r="O142" i="38"/>
  <c r="M142" i="38"/>
  <c r="J142" i="38"/>
  <c r="P141" i="38"/>
  <c r="O141" i="38"/>
  <c r="M141" i="38"/>
  <c r="J141" i="38"/>
  <c r="P140" i="38"/>
  <c r="O140" i="38"/>
  <c r="M140" i="38"/>
  <c r="J140" i="38"/>
  <c r="P139" i="38"/>
  <c r="O139" i="38"/>
  <c r="M139" i="38"/>
  <c r="J139" i="38"/>
  <c r="P138" i="38"/>
  <c r="O138" i="38"/>
  <c r="M138" i="38"/>
  <c r="J138" i="38"/>
  <c r="P137" i="38"/>
  <c r="O137" i="38"/>
  <c r="M137" i="38"/>
  <c r="J137" i="38"/>
  <c r="P136" i="38"/>
  <c r="O136" i="38"/>
  <c r="M136" i="38"/>
  <c r="J136" i="38"/>
  <c r="P135" i="38"/>
  <c r="O135" i="38"/>
  <c r="M135" i="38"/>
  <c r="J135" i="38"/>
  <c r="P134" i="38"/>
  <c r="O134" i="38"/>
  <c r="M134" i="38"/>
  <c r="J134" i="38"/>
  <c r="P133" i="38"/>
  <c r="O133" i="38"/>
  <c r="M133" i="38"/>
  <c r="J133" i="38"/>
  <c r="P132" i="38"/>
  <c r="O132" i="38"/>
  <c r="M132" i="38"/>
  <c r="J132" i="38"/>
  <c r="P131" i="38"/>
  <c r="O131" i="38"/>
  <c r="M131" i="38"/>
  <c r="J131" i="38"/>
  <c r="O130" i="38"/>
  <c r="M130" i="38"/>
  <c r="O129" i="38"/>
  <c r="M129" i="38"/>
  <c r="O128" i="38"/>
  <c r="M128" i="38"/>
  <c r="O127" i="38"/>
  <c r="M127" i="38"/>
  <c r="O126" i="38"/>
  <c r="M126" i="38"/>
  <c r="O125" i="38"/>
  <c r="M125" i="38"/>
  <c r="O124" i="38"/>
  <c r="M124" i="38"/>
  <c r="O123" i="38"/>
  <c r="M123" i="38"/>
  <c r="O122" i="38"/>
  <c r="M122" i="38"/>
  <c r="O121" i="38"/>
  <c r="M121" i="38"/>
  <c r="O120" i="38"/>
  <c r="M120" i="38"/>
  <c r="O119" i="38"/>
  <c r="M119" i="38"/>
  <c r="O118" i="38"/>
  <c r="M118" i="38"/>
  <c r="O117" i="38"/>
  <c r="M117" i="38"/>
  <c r="O116" i="38"/>
  <c r="M116" i="38"/>
  <c r="O115" i="38"/>
  <c r="M115" i="38"/>
  <c r="O114" i="38"/>
  <c r="M114" i="38"/>
  <c r="O113" i="38"/>
  <c r="M113" i="38"/>
  <c r="O112" i="38"/>
  <c r="M112" i="38"/>
  <c r="O111" i="38"/>
  <c r="M111" i="38"/>
  <c r="O110" i="38"/>
  <c r="M110" i="38"/>
  <c r="O109" i="38"/>
  <c r="M109" i="38"/>
  <c r="O108" i="38"/>
  <c r="M108" i="38"/>
  <c r="O107" i="38"/>
  <c r="M107" i="38"/>
  <c r="O106" i="38"/>
  <c r="M106" i="38"/>
  <c r="O105" i="38"/>
  <c r="M105" i="38"/>
  <c r="O104" i="38"/>
  <c r="M104" i="38"/>
  <c r="O103" i="38"/>
  <c r="M103" i="38"/>
  <c r="O102" i="38"/>
  <c r="M102" i="38"/>
  <c r="O101" i="38"/>
  <c r="O99" i="38"/>
  <c r="M99" i="38"/>
  <c r="P99" i="38"/>
  <c r="D96" i="38"/>
  <c r="L93" i="38"/>
  <c r="J93" i="38"/>
  <c r="D91" i="38"/>
  <c r="D89" i="38"/>
  <c r="N72" i="38"/>
  <c r="L72" i="38"/>
  <c r="N71" i="38"/>
  <c r="L71" i="38"/>
  <c r="N70" i="38"/>
  <c r="L70" i="38"/>
  <c r="N69" i="38"/>
  <c r="L69" i="38"/>
  <c r="N68" i="38"/>
  <c r="L68" i="38"/>
  <c r="N67" i="38"/>
  <c r="L67" i="38"/>
  <c r="N66" i="38"/>
  <c r="L66" i="38"/>
  <c r="N65" i="38"/>
  <c r="L65" i="38"/>
  <c r="N64" i="38"/>
  <c r="L64" i="38"/>
  <c r="N63" i="38"/>
  <c r="L63" i="38"/>
  <c r="N62" i="38"/>
  <c r="L62" i="38"/>
  <c r="N61" i="38"/>
  <c r="L61" i="38"/>
  <c r="N60" i="38"/>
  <c r="L60" i="38"/>
  <c r="N59" i="38"/>
  <c r="L59" i="38"/>
  <c r="N58" i="38"/>
  <c r="L58" i="38"/>
  <c r="N57" i="38"/>
  <c r="L57" i="38"/>
  <c r="N56" i="38"/>
  <c r="L56" i="38"/>
  <c r="N55" i="38"/>
  <c r="L55" i="38"/>
  <c r="N54" i="38"/>
  <c r="L54" i="38"/>
  <c r="N53" i="38"/>
  <c r="L53" i="38"/>
  <c r="N52" i="38"/>
  <c r="L52" i="38"/>
  <c r="N51" i="38"/>
  <c r="L51" i="38"/>
  <c r="N50" i="38"/>
  <c r="L50" i="38"/>
  <c r="N49" i="38"/>
  <c r="L49" i="38"/>
  <c r="N48" i="38"/>
  <c r="L48" i="38"/>
  <c r="N47" i="38"/>
  <c r="L47" i="38"/>
  <c r="N46" i="38"/>
  <c r="L46" i="38"/>
  <c r="N45" i="38"/>
  <c r="L45" i="38"/>
  <c r="N44" i="38"/>
  <c r="L44" i="38"/>
  <c r="N43" i="38"/>
  <c r="L43" i="38"/>
  <c r="N42" i="38"/>
  <c r="L42" i="38"/>
  <c r="N41" i="38"/>
  <c r="L41" i="38"/>
  <c r="N40" i="38"/>
  <c r="L40" i="38"/>
  <c r="N39" i="38"/>
  <c r="L39" i="38"/>
  <c r="N38" i="38"/>
  <c r="L38" i="38"/>
  <c r="N37" i="38"/>
  <c r="L37" i="38"/>
  <c r="N36" i="38"/>
  <c r="L36" i="38"/>
  <c r="N35" i="38"/>
  <c r="L35" i="38"/>
  <c r="N34" i="38"/>
  <c r="L34" i="38"/>
  <c r="N33" i="38"/>
  <c r="L33" i="38"/>
  <c r="N32" i="38"/>
  <c r="L32" i="38"/>
  <c r="N31" i="38"/>
  <c r="L31" i="38"/>
  <c r="N30" i="38"/>
  <c r="L30" i="38"/>
  <c r="N29" i="38"/>
  <c r="L29" i="38"/>
  <c r="N28" i="38"/>
  <c r="L28" i="38"/>
  <c r="N27" i="38"/>
  <c r="L27" i="38"/>
  <c r="N26" i="38"/>
  <c r="L26" i="38"/>
  <c r="N25" i="38"/>
  <c r="L25" i="38"/>
  <c r="N24" i="38"/>
  <c r="L24" i="38"/>
  <c r="N23" i="38"/>
  <c r="L23" i="38"/>
  <c r="N22" i="38"/>
  <c r="L22" i="38"/>
  <c r="N21" i="38"/>
  <c r="N20" i="38"/>
  <c r="N19" i="38"/>
  <c r="N18" i="38"/>
  <c r="N17" i="38"/>
  <c r="C18" i="38"/>
  <c r="C19" i="38" s="1"/>
  <c r="C20" i="38" s="1"/>
  <c r="C21" i="38" s="1"/>
  <c r="C22" i="38" s="1"/>
  <c r="C23" i="38" s="1"/>
  <c r="C24" i="38" s="1"/>
  <c r="C25" i="38" s="1"/>
  <c r="C26" i="38" s="1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K11" i="38"/>
  <c r="I11" i="38"/>
  <c r="D8" i="38"/>
  <c r="D90" i="38" s="1"/>
  <c r="W39" i="17"/>
  <c r="W38" i="17"/>
  <c r="W37" i="17"/>
  <c r="W36" i="17"/>
  <c r="W35" i="17"/>
  <c r="P35" i="17"/>
  <c r="P154" i="37"/>
  <c r="O154" i="37"/>
  <c r="M154" i="37"/>
  <c r="J154" i="37"/>
  <c r="P153" i="37"/>
  <c r="O153" i="37"/>
  <c r="M153" i="37"/>
  <c r="J153" i="37"/>
  <c r="P152" i="37"/>
  <c r="O152" i="37"/>
  <c r="M152" i="37"/>
  <c r="J152" i="37"/>
  <c r="P151" i="37"/>
  <c r="O151" i="37"/>
  <c r="M151" i="37"/>
  <c r="J151" i="37"/>
  <c r="P150" i="37"/>
  <c r="O150" i="37"/>
  <c r="M150" i="37"/>
  <c r="J150" i="37"/>
  <c r="P149" i="37"/>
  <c r="O149" i="37"/>
  <c r="M149" i="37"/>
  <c r="J149" i="37"/>
  <c r="P148" i="37"/>
  <c r="O148" i="37"/>
  <c r="M148" i="37"/>
  <c r="J148" i="37"/>
  <c r="P147" i="37"/>
  <c r="O147" i="37"/>
  <c r="M147" i="37"/>
  <c r="J147" i="37"/>
  <c r="P146" i="37"/>
  <c r="O146" i="37"/>
  <c r="M146" i="37"/>
  <c r="J146" i="37"/>
  <c r="P145" i="37"/>
  <c r="O145" i="37"/>
  <c r="M145" i="37"/>
  <c r="J145" i="37"/>
  <c r="P144" i="37"/>
  <c r="O144" i="37"/>
  <c r="M144" i="37"/>
  <c r="J144" i="37"/>
  <c r="P143" i="37"/>
  <c r="O143" i="37"/>
  <c r="M143" i="37"/>
  <c r="J143" i="37"/>
  <c r="P142" i="37"/>
  <c r="O142" i="37"/>
  <c r="M142" i="37"/>
  <c r="J142" i="37"/>
  <c r="P141" i="37"/>
  <c r="O141" i="37"/>
  <c r="M141" i="37"/>
  <c r="J141" i="37"/>
  <c r="P140" i="37"/>
  <c r="O140" i="37"/>
  <c r="M140" i="37"/>
  <c r="J140" i="37"/>
  <c r="P139" i="37"/>
  <c r="O139" i="37"/>
  <c r="M139" i="37"/>
  <c r="J139" i="37"/>
  <c r="P138" i="37"/>
  <c r="O138" i="37"/>
  <c r="M138" i="37"/>
  <c r="J138" i="37"/>
  <c r="P137" i="37"/>
  <c r="O137" i="37"/>
  <c r="M137" i="37"/>
  <c r="J137" i="37"/>
  <c r="P136" i="37"/>
  <c r="O136" i="37"/>
  <c r="M136" i="37"/>
  <c r="J136" i="37"/>
  <c r="P135" i="37"/>
  <c r="O135" i="37"/>
  <c r="M135" i="37"/>
  <c r="J135" i="37"/>
  <c r="P134" i="37"/>
  <c r="O134" i="37"/>
  <c r="M134" i="37"/>
  <c r="J134" i="37"/>
  <c r="P133" i="37"/>
  <c r="O133" i="37"/>
  <c r="M133" i="37"/>
  <c r="J133" i="37"/>
  <c r="P132" i="37"/>
  <c r="O132" i="37"/>
  <c r="M132" i="37"/>
  <c r="J132" i="37"/>
  <c r="P131" i="37"/>
  <c r="O131" i="37"/>
  <c r="M131" i="37"/>
  <c r="J131" i="37"/>
  <c r="O130" i="37"/>
  <c r="M130" i="37"/>
  <c r="O129" i="37"/>
  <c r="M129" i="37"/>
  <c r="O128" i="37"/>
  <c r="M128" i="37"/>
  <c r="O127" i="37"/>
  <c r="M127" i="37"/>
  <c r="O126" i="37"/>
  <c r="M126" i="37"/>
  <c r="O125" i="37"/>
  <c r="M125" i="37"/>
  <c r="O124" i="37"/>
  <c r="M124" i="37"/>
  <c r="O123" i="37"/>
  <c r="M123" i="37"/>
  <c r="O122" i="37"/>
  <c r="M122" i="37"/>
  <c r="O121" i="37"/>
  <c r="M121" i="37"/>
  <c r="O120" i="37"/>
  <c r="M120" i="37"/>
  <c r="O119" i="37"/>
  <c r="M119" i="37"/>
  <c r="O118" i="37"/>
  <c r="M118" i="37"/>
  <c r="O117" i="37"/>
  <c r="M117" i="37"/>
  <c r="O116" i="37"/>
  <c r="M116" i="37"/>
  <c r="O115" i="37"/>
  <c r="M115" i="37"/>
  <c r="O114" i="37"/>
  <c r="M114" i="37"/>
  <c r="O113" i="37"/>
  <c r="M113" i="37"/>
  <c r="O112" i="37"/>
  <c r="M112" i="37"/>
  <c r="O111" i="37"/>
  <c r="M111" i="37"/>
  <c r="O110" i="37"/>
  <c r="M110" i="37"/>
  <c r="O109" i="37"/>
  <c r="M109" i="37"/>
  <c r="O108" i="37"/>
  <c r="M108" i="37"/>
  <c r="O107" i="37"/>
  <c r="M107" i="37"/>
  <c r="O106" i="37"/>
  <c r="M106" i="37"/>
  <c r="O105" i="37"/>
  <c r="M105" i="37"/>
  <c r="O104" i="37"/>
  <c r="M104" i="37"/>
  <c r="O103" i="37"/>
  <c r="M103" i="37"/>
  <c r="O102" i="37"/>
  <c r="O101" i="37"/>
  <c r="O99" i="37"/>
  <c r="M99" i="37"/>
  <c r="D96" i="37"/>
  <c r="L93" i="37"/>
  <c r="J93" i="37"/>
  <c r="D91" i="37"/>
  <c r="D89" i="37"/>
  <c r="N72" i="37"/>
  <c r="L72" i="37"/>
  <c r="N71" i="37"/>
  <c r="L71" i="37"/>
  <c r="N70" i="37"/>
  <c r="L70" i="37"/>
  <c r="N69" i="37"/>
  <c r="L69" i="37"/>
  <c r="N68" i="37"/>
  <c r="L68" i="37"/>
  <c r="N67" i="37"/>
  <c r="L67" i="37"/>
  <c r="N66" i="37"/>
  <c r="L66" i="37"/>
  <c r="N65" i="37"/>
  <c r="L65" i="37"/>
  <c r="N64" i="37"/>
  <c r="L64" i="37"/>
  <c r="N63" i="37"/>
  <c r="L63" i="37"/>
  <c r="N62" i="37"/>
  <c r="L62" i="37"/>
  <c r="N61" i="37"/>
  <c r="L61" i="37"/>
  <c r="N60" i="37"/>
  <c r="L60" i="37"/>
  <c r="N59" i="37"/>
  <c r="L59" i="37"/>
  <c r="N58" i="37"/>
  <c r="L58" i="37"/>
  <c r="N57" i="37"/>
  <c r="L57" i="37"/>
  <c r="N56" i="37"/>
  <c r="L56" i="37"/>
  <c r="N55" i="37"/>
  <c r="L55" i="37"/>
  <c r="N54" i="37"/>
  <c r="L54" i="37"/>
  <c r="N53" i="37"/>
  <c r="L53" i="37"/>
  <c r="N52" i="37"/>
  <c r="L52" i="37"/>
  <c r="N51" i="37"/>
  <c r="L51" i="37"/>
  <c r="N50" i="37"/>
  <c r="L50" i="37"/>
  <c r="N49" i="37"/>
  <c r="L49" i="37"/>
  <c r="N48" i="37"/>
  <c r="L48" i="37"/>
  <c r="N47" i="37"/>
  <c r="L47" i="37"/>
  <c r="N46" i="37"/>
  <c r="L46" i="37"/>
  <c r="N45" i="37"/>
  <c r="L45" i="37"/>
  <c r="N44" i="37"/>
  <c r="L44" i="37"/>
  <c r="N43" i="37"/>
  <c r="L43" i="37"/>
  <c r="N42" i="37"/>
  <c r="L42" i="37"/>
  <c r="N41" i="37"/>
  <c r="L41" i="37"/>
  <c r="N40" i="37"/>
  <c r="L40" i="37"/>
  <c r="N39" i="37"/>
  <c r="L39" i="37"/>
  <c r="N38" i="37"/>
  <c r="L38" i="37"/>
  <c r="N37" i="37"/>
  <c r="L37" i="37"/>
  <c r="N36" i="37"/>
  <c r="L36" i="37"/>
  <c r="N35" i="37"/>
  <c r="L35" i="37"/>
  <c r="N34" i="37"/>
  <c r="L34" i="37"/>
  <c r="N33" i="37"/>
  <c r="L33" i="37"/>
  <c r="N32" i="37"/>
  <c r="L32" i="37"/>
  <c r="N31" i="37"/>
  <c r="L31" i="37"/>
  <c r="N30" i="37"/>
  <c r="L30" i="37"/>
  <c r="N29" i="37"/>
  <c r="L29" i="37"/>
  <c r="N28" i="37"/>
  <c r="L28" i="37"/>
  <c r="N27" i="37"/>
  <c r="L27" i="37"/>
  <c r="N26" i="37"/>
  <c r="L26" i="37"/>
  <c r="N25" i="37"/>
  <c r="L25" i="37"/>
  <c r="N24" i="37"/>
  <c r="L24" i="37"/>
  <c r="N23" i="37"/>
  <c r="L23" i="37"/>
  <c r="N22" i="37"/>
  <c r="L22" i="37"/>
  <c r="N21" i="37"/>
  <c r="N20" i="37"/>
  <c r="N19" i="37"/>
  <c r="C17" i="37"/>
  <c r="C18" i="37"/>
  <c r="C19" i="37" s="1"/>
  <c r="C20" i="37"/>
  <c r="C21" i="37" s="1"/>
  <c r="C22" i="37" s="1"/>
  <c r="C23" i="37" s="1"/>
  <c r="C24" i="37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K11" i="37"/>
  <c r="I11" i="37"/>
  <c r="D8" i="37"/>
  <c r="D90" i="37"/>
  <c r="S48" i="17"/>
  <c r="M48" i="17"/>
  <c r="N99" i="31"/>
  <c r="O99" i="31" s="1"/>
  <c r="L99" i="31"/>
  <c r="M99" i="31" s="1"/>
  <c r="D96" i="31"/>
  <c r="M18" i="31"/>
  <c r="N18" i="31"/>
  <c r="K18" i="31"/>
  <c r="L18" i="31" s="1"/>
  <c r="M17" i="30"/>
  <c r="N17" i="30"/>
  <c r="K17" i="30"/>
  <c r="L17" i="30" s="1"/>
  <c r="N99" i="29"/>
  <c r="O99" i="29" s="1"/>
  <c r="L99" i="29"/>
  <c r="M99" i="29" s="1"/>
  <c r="M18" i="29"/>
  <c r="N18" i="29" s="1"/>
  <c r="K18" i="29"/>
  <c r="L18" i="29" s="1"/>
  <c r="N99" i="28"/>
  <c r="O99" i="28"/>
  <c r="L99" i="28"/>
  <c r="M99" i="28" s="1"/>
  <c r="M18" i="28"/>
  <c r="N18" i="28"/>
  <c r="K18" i="28"/>
  <c r="L18" i="28"/>
  <c r="N103" i="25"/>
  <c r="O103" i="25"/>
  <c r="L103" i="25"/>
  <c r="M103" i="25" s="1"/>
  <c r="M22" i="25"/>
  <c r="N22" i="25" s="1"/>
  <c r="K22" i="25"/>
  <c r="L22" i="25" s="1"/>
  <c r="N101" i="24"/>
  <c r="O101" i="24" s="1"/>
  <c r="L101" i="24"/>
  <c r="M101" i="24" s="1"/>
  <c r="M20" i="24"/>
  <c r="N20" i="24" s="1"/>
  <c r="O20" i="24" s="1"/>
  <c r="K20" i="24"/>
  <c r="L20" i="24"/>
  <c r="M21" i="23"/>
  <c r="N21" i="23"/>
  <c r="K21" i="23"/>
  <c r="L21" i="23"/>
  <c r="N102" i="23"/>
  <c r="O102" i="23"/>
  <c r="L102" i="23"/>
  <c r="M102" i="23"/>
  <c r="N103" i="22"/>
  <c r="O103" i="22"/>
  <c r="L103" i="22"/>
  <c r="M103" i="22"/>
  <c r="M22" i="22"/>
  <c r="N22" i="22"/>
  <c r="K22" i="22"/>
  <c r="L22" i="22"/>
  <c r="N106" i="11"/>
  <c r="O106" i="11"/>
  <c r="L106" i="11"/>
  <c r="M106" i="11"/>
  <c r="M25" i="11"/>
  <c r="N25" i="11"/>
  <c r="K25" i="11"/>
  <c r="L25" i="11"/>
  <c r="N107" i="10"/>
  <c r="O107" i="10"/>
  <c r="L107" i="10"/>
  <c r="M107" i="10"/>
  <c r="M26" i="10"/>
  <c r="N26" i="10"/>
  <c r="K26" i="10"/>
  <c r="L26" i="10"/>
  <c r="N106" i="9"/>
  <c r="O106" i="9"/>
  <c r="P106" i="9" s="1"/>
  <c r="L106" i="9"/>
  <c r="M106" i="9" s="1"/>
  <c r="M25" i="9"/>
  <c r="N25" i="9" s="1"/>
  <c r="K25" i="9"/>
  <c r="L25" i="9" s="1"/>
  <c r="N105" i="8"/>
  <c r="O105" i="8" s="1"/>
  <c r="L105" i="8"/>
  <c r="M105" i="8" s="1"/>
  <c r="M24" i="8"/>
  <c r="N24" i="8" s="1"/>
  <c r="K24" i="8"/>
  <c r="N107" i="7"/>
  <c r="O107" i="7" s="1"/>
  <c r="L107" i="7"/>
  <c r="M107" i="7"/>
  <c r="M26" i="7"/>
  <c r="N26" i="7" s="1"/>
  <c r="K26" i="7"/>
  <c r="L26" i="7"/>
  <c r="N105" i="6"/>
  <c r="O105" i="6" s="1"/>
  <c r="L105" i="6"/>
  <c r="M105" i="6"/>
  <c r="M24" i="6"/>
  <c r="N24" i="6" s="1"/>
  <c r="K24" i="6"/>
  <c r="L24" i="6"/>
  <c r="N104" i="5"/>
  <c r="O104" i="5" s="1"/>
  <c r="L104" i="5"/>
  <c r="M104" i="5"/>
  <c r="M23" i="5"/>
  <c r="N23" i="5" s="1"/>
  <c r="K23" i="5"/>
  <c r="L23" i="5"/>
  <c r="N104" i="4"/>
  <c r="O104" i="4" s="1"/>
  <c r="L104" i="4"/>
  <c r="M104" i="4"/>
  <c r="M23" i="4"/>
  <c r="N23" i="4" s="1"/>
  <c r="K23" i="4"/>
  <c r="L23" i="4"/>
  <c r="N104" i="3"/>
  <c r="O104" i="3" s="1"/>
  <c r="P104" i="3" s="1"/>
  <c r="L104" i="3"/>
  <c r="M104" i="3" s="1"/>
  <c r="M23" i="3"/>
  <c r="N23" i="3" s="1"/>
  <c r="K23" i="3"/>
  <c r="L23" i="3" s="1"/>
  <c r="N100" i="27"/>
  <c r="O100" i="27"/>
  <c r="L100" i="27"/>
  <c r="M100" i="27" s="1"/>
  <c r="N99" i="27"/>
  <c r="O99" i="27" s="1"/>
  <c r="L99" i="27"/>
  <c r="M99" i="27" s="1"/>
  <c r="M19" i="27"/>
  <c r="N19" i="27" s="1"/>
  <c r="K19" i="27"/>
  <c r="L19" i="27" s="1"/>
  <c r="M17" i="31"/>
  <c r="N17" i="31"/>
  <c r="K17" i="31"/>
  <c r="L17" i="31" s="1"/>
  <c r="W34" i="17"/>
  <c r="P34" i="17"/>
  <c r="P154" i="31"/>
  <c r="O154" i="31"/>
  <c r="M154" i="31"/>
  <c r="P153" i="31"/>
  <c r="O153" i="31"/>
  <c r="M153" i="31"/>
  <c r="P152" i="31"/>
  <c r="O152" i="31"/>
  <c r="M152" i="31"/>
  <c r="P151" i="31"/>
  <c r="O151" i="31"/>
  <c r="M151" i="31"/>
  <c r="P150" i="31"/>
  <c r="O150" i="31"/>
  <c r="M150" i="31"/>
  <c r="P149" i="31"/>
  <c r="O149" i="31"/>
  <c r="M149" i="31"/>
  <c r="P148" i="31"/>
  <c r="O148" i="31"/>
  <c r="M148" i="31"/>
  <c r="P147" i="31"/>
  <c r="O147" i="31"/>
  <c r="M147" i="31"/>
  <c r="P146" i="31"/>
  <c r="O146" i="31"/>
  <c r="M146" i="31"/>
  <c r="P145" i="31"/>
  <c r="O145" i="31"/>
  <c r="M145" i="31"/>
  <c r="P144" i="31"/>
  <c r="O144" i="31"/>
  <c r="M144" i="31"/>
  <c r="P143" i="31"/>
  <c r="O143" i="31"/>
  <c r="M143" i="31"/>
  <c r="P142" i="31"/>
  <c r="O142" i="31"/>
  <c r="M142" i="31"/>
  <c r="P141" i="31"/>
  <c r="O141" i="31"/>
  <c r="M141" i="31"/>
  <c r="P140" i="31"/>
  <c r="O140" i="31"/>
  <c r="M140" i="31"/>
  <c r="P139" i="31"/>
  <c r="O139" i="31"/>
  <c r="M139" i="31"/>
  <c r="P138" i="31"/>
  <c r="O138" i="31"/>
  <c r="M138" i="31"/>
  <c r="P137" i="31"/>
  <c r="O137" i="31"/>
  <c r="M137" i="31"/>
  <c r="P136" i="31"/>
  <c r="O136" i="31"/>
  <c r="M136" i="31"/>
  <c r="P135" i="31"/>
  <c r="O135" i="31"/>
  <c r="M135" i="31"/>
  <c r="P134" i="31"/>
  <c r="O134" i="31"/>
  <c r="M134" i="31"/>
  <c r="P133" i="31"/>
  <c r="O133" i="31"/>
  <c r="M133" i="31"/>
  <c r="P132" i="31"/>
  <c r="O132" i="31"/>
  <c r="M132" i="31"/>
  <c r="P131" i="31"/>
  <c r="O131" i="31"/>
  <c r="M131" i="31"/>
  <c r="O130" i="31"/>
  <c r="M130" i="31"/>
  <c r="O129" i="31"/>
  <c r="M129" i="31"/>
  <c r="O128" i="31"/>
  <c r="M128" i="31"/>
  <c r="O127" i="31"/>
  <c r="M127" i="31"/>
  <c r="O126" i="31"/>
  <c r="M126" i="31"/>
  <c r="O125" i="31"/>
  <c r="M125" i="31"/>
  <c r="O124" i="31"/>
  <c r="M124" i="31"/>
  <c r="O123" i="31"/>
  <c r="M123" i="31"/>
  <c r="O122" i="31"/>
  <c r="M122" i="31"/>
  <c r="O121" i="31"/>
  <c r="M121" i="31"/>
  <c r="O120" i="31"/>
  <c r="M120" i="31"/>
  <c r="O119" i="31"/>
  <c r="M119" i="31"/>
  <c r="O118" i="31"/>
  <c r="M118" i="31"/>
  <c r="O117" i="31"/>
  <c r="M117" i="31"/>
  <c r="O116" i="31"/>
  <c r="M116" i="31"/>
  <c r="O115" i="31"/>
  <c r="M115" i="31"/>
  <c r="O114" i="31"/>
  <c r="M114" i="31"/>
  <c r="O113" i="31"/>
  <c r="M113" i="31"/>
  <c r="O112" i="31"/>
  <c r="M112" i="31"/>
  <c r="O111" i="31"/>
  <c r="M111" i="31"/>
  <c r="O110" i="31"/>
  <c r="M110" i="31"/>
  <c r="O109" i="31"/>
  <c r="M109" i="31"/>
  <c r="O108" i="31"/>
  <c r="M108" i="31"/>
  <c r="O107" i="31"/>
  <c r="M107" i="31"/>
  <c r="O106" i="31"/>
  <c r="M106" i="31"/>
  <c r="O105" i="31"/>
  <c r="O104" i="31"/>
  <c r="L93" i="31"/>
  <c r="J93" i="31"/>
  <c r="E91" i="31"/>
  <c r="D91" i="31"/>
  <c r="D89" i="31"/>
  <c r="N72" i="31"/>
  <c r="L72" i="31"/>
  <c r="N71" i="31"/>
  <c r="L71" i="31"/>
  <c r="N70" i="31"/>
  <c r="L70" i="31"/>
  <c r="N69" i="31"/>
  <c r="L69" i="31"/>
  <c r="N68" i="31"/>
  <c r="L68" i="31"/>
  <c r="N67" i="31"/>
  <c r="L67" i="31"/>
  <c r="N66" i="31"/>
  <c r="L66" i="31"/>
  <c r="N65" i="31"/>
  <c r="L65" i="31"/>
  <c r="N64" i="31"/>
  <c r="L64" i="31"/>
  <c r="N63" i="31"/>
  <c r="L63" i="31"/>
  <c r="N62" i="31"/>
  <c r="L62" i="31"/>
  <c r="N61" i="31"/>
  <c r="L61" i="31"/>
  <c r="N60" i="31"/>
  <c r="L60" i="31"/>
  <c r="N59" i="31"/>
  <c r="L59" i="31"/>
  <c r="N58" i="31"/>
  <c r="L58" i="31"/>
  <c r="N57" i="31"/>
  <c r="L57" i="31"/>
  <c r="N56" i="31"/>
  <c r="L56" i="31"/>
  <c r="N55" i="31"/>
  <c r="L55" i="31"/>
  <c r="N54" i="31"/>
  <c r="L54" i="31"/>
  <c r="N53" i="31"/>
  <c r="L53" i="31"/>
  <c r="N52" i="31"/>
  <c r="L52" i="31"/>
  <c r="N51" i="31"/>
  <c r="L51" i="31"/>
  <c r="N50" i="31"/>
  <c r="L50" i="31"/>
  <c r="N49" i="31"/>
  <c r="L49" i="31"/>
  <c r="N48" i="31"/>
  <c r="L48" i="31"/>
  <c r="N47" i="31"/>
  <c r="L47" i="31"/>
  <c r="N46" i="31"/>
  <c r="L46" i="31"/>
  <c r="N45" i="31"/>
  <c r="L45" i="31"/>
  <c r="N44" i="31"/>
  <c r="L44" i="31"/>
  <c r="N43" i="31"/>
  <c r="L43" i="31"/>
  <c r="N42" i="31"/>
  <c r="L42" i="31"/>
  <c r="N41" i="31"/>
  <c r="L41" i="31"/>
  <c r="N40" i="31"/>
  <c r="L40" i="31"/>
  <c r="N39" i="31"/>
  <c r="L39" i="31"/>
  <c r="N38" i="31"/>
  <c r="L38" i="31"/>
  <c r="N37" i="31"/>
  <c r="L37" i="31"/>
  <c r="N36" i="31"/>
  <c r="L36" i="31"/>
  <c r="N35" i="31"/>
  <c r="L35" i="31"/>
  <c r="N34" i="31"/>
  <c r="L34" i="31"/>
  <c r="N33" i="31"/>
  <c r="L33" i="31"/>
  <c r="N32" i="31"/>
  <c r="L32" i="31"/>
  <c r="N31" i="31"/>
  <c r="L31" i="31"/>
  <c r="N30" i="31"/>
  <c r="L30" i="31"/>
  <c r="N29" i="31"/>
  <c r="L29" i="31"/>
  <c r="N28" i="31"/>
  <c r="L28" i="31"/>
  <c r="N27" i="31"/>
  <c r="L27" i="31"/>
  <c r="N26" i="31"/>
  <c r="L26" i="31"/>
  <c r="N25" i="31"/>
  <c r="L25" i="31"/>
  <c r="N24" i="31"/>
  <c r="N23" i="31"/>
  <c r="N22" i="31"/>
  <c r="C17" i="3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C34" i="31" s="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K11" i="31"/>
  <c r="I11" i="31"/>
  <c r="P1" i="31"/>
  <c r="P83" i="31" s="1"/>
  <c r="P154" i="30"/>
  <c r="O154" i="30"/>
  <c r="M154" i="30"/>
  <c r="P153" i="30"/>
  <c r="O153" i="30"/>
  <c r="M153" i="30"/>
  <c r="P152" i="30"/>
  <c r="O152" i="30"/>
  <c r="M152" i="30"/>
  <c r="P151" i="30"/>
  <c r="O151" i="30"/>
  <c r="M151" i="30"/>
  <c r="P150" i="30"/>
  <c r="O150" i="30"/>
  <c r="M150" i="30"/>
  <c r="P149" i="30"/>
  <c r="O149" i="30"/>
  <c r="M149" i="30"/>
  <c r="P148" i="30"/>
  <c r="O148" i="30"/>
  <c r="M148" i="30"/>
  <c r="P147" i="30"/>
  <c r="O147" i="30"/>
  <c r="M147" i="30"/>
  <c r="P146" i="30"/>
  <c r="O146" i="30"/>
  <c r="M146" i="30"/>
  <c r="P145" i="30"/>
  <c r="O145" i="30"/>
  <c r="M145" i="30"/>
  <c r="P144" i="30"/>
  <c r="O144" i="30"/>
  <c r="M144" i="30"/>
  <c r="P143" i="30"/>
  <c r="O143" i="30"/>
  <c r="M143" i="30"/>
  <c r="P142" i="30"/>
  <c r="O142" i="30"/>
  <c r="M142" i="30"/>
  <c r="P141" i="30"/>
  <c r="O141" i="30"/>
  <c r="M141" i="30"/>
  <c r="P140" i="30"/>
  <c r="O140" i="30"/>
  <c r="M140" i="30"/>
  <c r="P139" i="30"/>
  <c r="O139" i="30"/>
  <c r="M139" i="30"/>
  <c r="P138" i="30"/>
  <c r="O138" i="30"/>
  <c r="M138" i="30"/>
  <c r="P137" i="30"/>
  <c r="O137" i="30"/>
  <c r="M137" i="30"/>
  <c r="P136" i="30"/>
  <c r="O136" i="30"/>
  <c r="M136" i="30"/>
  <c r="P135" i="30"/>
  <c r="O135" i="30"/>
  <c r="M135" i="30"/>
  <c r="P134" i="30"/>
  <c r="O134" i="30"/>
  <c r="M134" i="30"/>
  <c r="P133" i="30"/>
  <c r="O133" i="30"/>
  <c r="M133" i="30"/>
  <c r="P132" i="30"/>
  <c r="O132" i="30"/>
  <c r="M132" i="30"/>
  <c r="P131" i="30"/>
  <c r="O131" i="30"/>
  <c r="M131" i="30"/>
  <c r="O130" i="30"/>
  <c r="M130" i="30"/>
  <c r="O129" i="30"/>
  <c r="M129" i="30"/>
  <c r="O128" i="30"/>
  <c r="M128" i="30"/>
  <c r="O127" i="30"/>
  <c r="M127" i="30"/>
  <c r="O126" i="30"/>
  <c r="M126" i="30"/>
  <c r="O125" i="30"/>
  <c r="M125" i="30"/>
  <c r="O124" i="30"/>
  <c r="M124" i="30"/>
  <c r="O123" i="30"/>
  <c r="M123" i="30"/>
  <c r="O122" i="30"/>
  <c r="M122" i="30"/>
  <c r="O121" i="30"/>
  <c r="M121" i="30"/>
  <c r="O120" i="30"/>
  <c r="M120" i="30"/>
  <c r="O119" i="30"/>
  <c r="M119" i="30"/>
  <c r="O118" i="30"/>
  <c r="M118" i="30"/>
  <c r="O117" i="30"/>
  <c r="M117" i="30"/>
  <c r="O116" i="30"/>
  <c r="M116" i="30"/>
  <c r="O115" i="30"/>
  <c r="M115" i="30"/>
  <c r="O114" i="30"/>
  <c r="M114" i="30"/>
  <c r="O113" i="30"/>
  <c r="M113" i="30"/>
  <c r="O112" i="30"/>
  <c r="M112" i="30"/>
  <c r="O111" i="30"/>
  <c r="M111" i="30"/>
  <c r="O110" i="30"/>
  <c r="M110" i="30"/>
  <c r="O109" i="30"/>
  <c r="M109" i="30"/>
  <c r="O108" i="30"/>
  <c r="M108" i="30"/>
  <c r="O107" i="30"/>
  <c r="M107" i="30"/>
  <c r="O106" i="30"/>
  <c r="M106" i="30"/>
  <c r="O105" i="30"/>
  <c r="M105" i="30"/>
  <c r="O104" i="30"/>
  <c r="O103" i="30"/>
  <c r="O99" i="30"/>
  <c r="D96" i="30"/>
  <c r="L93" i="30"/>
  <c r="J93" i="30"/>
  <c r="E91" i="30"/>
  <c r="D91" i="30"/>
  <c r="D89" i="30"/>
  <c r="N72" i="30"/>
  <c r="L72" i="30"/>
  <c r="N71" i="30"/>
  <c r="L71" i="30"/>
  <c r="N70" i="30"/>
  <c r="L70" i="30"/>
  <c r="N69" i="30"/>
  <c r="L69" i="30"/>
  <c r="N68" i="30"/>
  <c r="L68" i="30"/>
  <c r="N67" i="30"/>
  <c r="L67" i="30"/>
  <c r="N66" i="30"/>
  <c r="L66" i="30"/>
  <c r="N65" i="30"/>
  <c r="L65" i="30"/>
  <c r="N64" i="30"/>
  <c r="L64" i="30"/>
  <c r="N63" i="30"/>
  <c r="L63" i="30"/>
  <c r="N62" i="30"/>
  <c r="L62" i="30"/>
  <c r="N61" i="30"/>
  <c r="L61" i="30"/>
  <c r="N60" i="30"/>
  <c r="L60" i="30"/>
  <c r="N59" i="30"/>
  <c r="L59" i="30"/>
  <c r="N58" i="30"/>
  <c r="L58" i="30"/>
  <c r="N57" i="30"/>
  <c r="L57" i="30"/>
  <c r="N56" i="30"/>
  <c r="L56" i="30"/>
  <c r="N55" i="30"/>
  <c r="L55" i="30"/>
  <c r="N54" i="30"/>
  <c r="L54" i="30"/>
  <c r="N53" i="30"/>
  <c r="L53" i="30"/>
  <c r="N52" i="30"/>
  <c r="L52" i="30"/>
  <c r="N51" i="30"/>
  <c r="L51" i="30"/>
  <c r="N50" i="30"/>
  <c r="L50" i="30"/>
  <c r="N49" i="30"/>
  <c r="L49" i="30"/>
  <c r="N48" i="30"/>
  <c r="L48" i="30"/>
  <c r="N47" i="30"/>
  <c r="L47" i="30"/>
  <c r="N46" i="30"/>
  <c r="L46" i="30"/>
  <c r="N45" i="30"/>
  <c r="L45" i="30"/>
  <c r="N44" i="30"/>
  <c r="L44" i="30"/>
  <c r="N43" i="30"/>
  <c r="L43" i="30"/>
  <c r="N42" i="30"/>
  <c r="L42" i="30"/>
  <c r="N41" i="30"/>
  <c r="L41" i="30"/>
  <c r="N40" i="30"/>
  <c r="L40" i="30"/>
  <c r="N39" i="30"/>
  <c r="L39" i="30"/>
  <c r="N38" i="30"/>
  <c r="L38" i="30"/>
  <c r="N37" i="30"/>
  <c r="L37" i="30"/>
  <c r="N36" i="30"/>
  <c r="L36" i="30"/>
  <c r="N35" i="30"/>
  <c r="L35" i="30"/>
  <c r="N34" i="30"/>
  <c r="L34" i="30"/>
  <c r="N33" i="30"/>
  <c r="L33" i="30"/>
  <c r="N32" i="30"/>
  <c r="L32" i="30"/>
  <c r="N31" i="30"/>
  <c r="L31" i="30"/>
  <c r="N30" i="30"/>
  <c r="L30" i="30"/>
  <c r="N29" i="30"/>
  <c r="L29" i="30"/>
  <c r="N28" i="30"/>
  <c r="L28" i="30"/>
  <c r="N27" i="30"/>
  <c r="L27" i="30"/>
  <c r="N26" i="30"/>
  <c r="L26" i="30"/>
  <c r="N25" i="30"/>
  <c r="L25" i="30"/>
  <c r="N24" i="30"/>
  <c r="L24" i="30"/>
  <c r="N23" i="30"/>
  <c r="N22" i="30"/>
  <c r="N21" i="30"/>
  <c r="C17" i="30"/>
  <c r="C18" i="30" s="1"/>
  <c r="C19" i="30" s="1"/>
  <c r="C20" i="30" s="1"/>
  <c r="C21" i="30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K11" i="30"/>
  <c r="I11" i="30"/>
  <c r="D8" i="30"/>
  <c r="D90" i="30" s="1"/>
  <c r="P1" i="30"/>
  <c r="P83" i="30" s="1"/>
  <c r="M17" i="29"/>
  <c r="N17" i="29" s="1"/>
  <c r="K17" i="29"/>
  <c r="L17" i="29" s="1"/>
  <c r="M17" i="28"/>
  <c r="N17" i="28" s="1"/>
  <c r="K17" i="28"/>
  <c r="L17" i="28" s="1"/>
  <c r="N102" i="25"/>
  <c r="O102" i="25"/>
  <c r="P102" i="25" s="1"/>
  <c r="L102" i="25"/>
  <c r="M102" i="25" s="1"/>
  <c r="M21" i="25"/>
  <c r="N21" i="25" s="1"/>
  <c r="K21" i="25"/>
  <c r="L21" i="25"/>
  <c r="N100" i="24"/>
  <c r="O100" i="24"/>
  <c r="L100" i="24"/>
  <c r="M100" i="24"/>
  <c r="M19" i="24"/>
  <c r="N19" i="24"/>
  <c r="K19" i="24"/>
  <c r="L19" i="24" s="1"/>
  <c r="N101" i="23"/>
  <c r="O101" i="23" s="1"/>
  <c r="L101" i="23"/>
  <c r="M101" i="23"/>
  <c r="M20" i="23"/>
  <c r="N20" i="23"/>
  <c r="K20" i="23"/>
  <c r="L20" i="23"/>
  <c r="N102" i="22"/>
  <c r="O102" i="22"/>
  <c r="P102" i="22" s="1"/>
  <c r="L102" i="22"/>
  <c r="M102" i="22" s="1"/>
  <c r="M21" i="22"/>
  <c r="N21" i="22" s="1"/>
  <c r="O21" i="22" s="1"/>
  <c r="K21" i="22"/>
  <c r="L21" i="22" s="1"/>
  <c r="N105" i="11"/>
  <c r="O105" i="11" s="1"/>
  <c r="P105" i="11" s="1"/>
  <c r="L105" i="11"/>
  <c r="M105" i="11" s="1"/>
  <c r="M24" i="11"/>
  <c r="K24" i="11"/>
  <c r="L24" i="11" s="1"/>
  <c r="N106" i="10"/>
  <c r="O106" i="10" s="1"/>
  <c r="P106" i="10" s="1"/>
  <c r="L106" i="10"/>
  <c r="M106" i="10" s="1"/>
  <c r="M25" i="10"/>
  <c r="N25" i="10" s="1"/>
  <c r="K25" i="10"/>
  <c r="L25" i="10" s="1"/>
  <c r="N105" i="9"/>
  <c r="O105" i="9"/>
  <c r="L105" i="9"/>
  <c r="M105" i="9"/>
  <c r="M24" i="9"/>
  <c r="N24" i="9" s="1"/>
  <c r="K24" i="9"/>
  <c r="L24" i="9" s="1"/>
  <c r="N104" i="8"/>
  <c r="O104" i="8" s="1"/>
  <c r="L104" i="8"/>
  <c r="M104" i="8" s="1"/>
  <c r="M23" i="8"/>
  <c r="N23" i="8" s="1"/>
  <c r="K23" i="8"/>
  <c r="L23" i="8" s="1"/>
  <c r="N106" i="7"/>
  <c r="O106" i="7" s="1"/>
  <c r="L106" i="7"/>
  <c r="M106" i="7" s="1"/>
  <c r="M25" i="7"/>
  <c r="N25" i="7" s="1"/>
  <c r="K25" i="7"/>
  <c r="L25" i="7" s="1"/>
  <c r="N104" i="6"/>
  <c r="O104" i="6" s="1"/>
  <c r="L104" i="6"/>
  <c r="M104" i="6" s="1"/>
  <c r="M23" i="6"/>
  <c r="N23" i="6" s="1"/>
  <c r="K23" i="6"/>
  <c r="L23" i="6" s="1"/>
  <c r="N103" i="5"/>
  <c r="O103" i="5" s="1"/>
  <c r="L103" i="5"/>
  <c r="M103" i="5" s="1"/>
  <c r="M22" i="5"/>
  <c r="N22" i="5" s="1"/>
  <c r="O22" i="5" s="1"/>
  <c r="K22" i="5"/>
  <c r="L22" i="5" s="1"/>
  <c r="N103" i="4"/>
  <c r="O103" i="4" s="1"/>
  <c r="L103" i="4"/>
  <c r="M103" i="4" s="1"/>
  <c r="M22" i="4"/>
  <c r="N22" i="4"/>
  <c r="K22" i="4"/>
  <c r="L22" i="4" s="1"/>
  <c r="N103" i="3"/>
  <c r="O103" i="3" s="1"/>
  <c r="P103" i="3" s="1"/>
  <c r="L103" i="3"/>
  <c r="M103" i="3" s="1"/>
  <c r="M22" i="3"/>
  <c r="N22" i="3" s="1"/>
  <c r="O22" i="3" s="1"/>
  <c r="K22" i="3"/>
  <c r="L22" i="3" s="1"/>
  <c r="D8" i="13"/>
  <c r="D10" i="23"/>
  <c r="D92" i="23" s="1"/>
  <c r="P1" i="29"/>
  <c r="P83" i="29" s="1"/>
  <c r="P1" i="28"/>
  <c r="P83" i="28" s="1"/>
  <c r="P1" i="27"/>
  <c r="P83" i="27" s="1"/>
  <c r="D8" i="29"/>
  <c r="D90" i="29"/>
  <c r="D8" i="28"/>
  <c r="D90" i="28"/>
  <c r="D8" i="27"/>
  <c r="D90" i="27"/>
  <c r="D8" i="25"/>
  <c r="D8" i="24"/>
  <c r="D8" i="22"/>
  <c r="D8" i="11"/>
  <c r="D8" i="10"/>
  <c r="E91" i="28"/>
  <c r="E91" i="29"/>
  <c r="W33" i="17"/>
  <c r="P33" i="17"/>
  <c r="W32" i="17"/>
  <c r="P32" i="17"/>
  <c r="N102" i="5"/>
  <c r="O102" i="5" s="1"/>
  <c r="L102" i="5"/>
  <c r="M102" i="5" s="1"/>
  <c r="P154" i="29"/>
  <c r="O154" i="29"/>
  <c r="M154" i="29"/>
  <c r="P153" i="29"/>
  <c r="O153" i="29"/>
  <c r="M153" i="29"/>
  <c r="P152" i="29"/>
  <c r="O152" i="29"/>
  <c r="M152" i="29"/>
  <c r="P151" i="29"/>
  <c r="O151" i="29"/>
  <c r="M151" i="29"/>
  <c r="P150" i="29"/>
  <c r="O150" i="29"/>
  <c r="M150" i="29"/>
  <c r="P149" i="29"/>
  <c r="O149" i="29"/>
  <c r="M149" i="29"/>
  <c r="P148" i="29"/>
  <c r="O148" i="29"/>
  <c r="M148" i="29"/>
  <c r="P147" i="29"/>
  <c r="O147" i="29"/>
  <c r="M147" i="29"/>
  <c r="P146" i="29"/>
  <c r="O146" i="29"/>
  <c r="M146" i="29"/>
  <c r="P145" i="29"/>
  <c r="O145" i="29"/>
  <c r="M145" i="29"/>
  <c r="P144" i="29"/>
  <c r="O144" i="29"/>
  <c r="M144" i="29"/>
  <c r="P143" i="29"/>
  <c r="O143" i="29"/>
  <c r="M143" i="29"/>
  <c r="P142" i="29"/>
  <c r="O142" i="29"/>
  <c r="M142" i="29"/>
  <c r="P141" i="29"/>
  <c r="O141" i="29"/>
  <c r="M141" i="29"/>
  <c r="P140" i="29"/>
  <c r="O140" i="29"/>
  <c r="M140" i="29"/>
  <c r="P139" i="29"/>
  <c r="O139" i="29"/>
  <c r="M139" i="29"/>
  <c r="P138" i="29"/>
  <c r="O138" i="29"/>
  <c r="M138" i="29"/>
  <c r="P137" i="29"/>
  <c r="O137" i="29"/>
  <c r="M137" i="29"/>
  <c r="P136" i="29"/>
  <c r="O136" i="29"/>
  <c r="M136" i="29"/>
  <c r="P135" i="29"/>
  <c r="O135" i="29"/>
  <c r="M135" i="29"/>
  <c r="P134" i="29"/>
  <c r="O134" i="29"/>
  <c r="M134" i="29"/>
  <c r="P133" i="29"/>
  <c r="O133" i="29"/>
  <c r="M133" i="29"/>
  <c r="P132" i="29"/>
  <c r="O132" i="29"/>
  <c r="M132" i="29"/>
  <c r="P131" i="29"/>
  <c r="O131" i="29"/>
  <c r="M131" i="29"/>
  <c r="O130" i="29"/>
  <c r="M130" i="29"/>
  <c r="O129" i="29"/>
  <c r="M129" i="29"/>
  <c r="O128" i="29"/>
  <c r="M128" i="29"/>
  <c r="O127" i="29"/>
  <c r="M127" i="29"/>
  <c r="O126" i="29"/>
  <c r="M126" i="29"/>
  <c r="O125" i="29"/>
  <c r="M125" i="29"/>
  <c r="O124" i="29"/>
  <c r="M124" i="29"/>
  <c r="O123" i="29"/>
  <c r="M123" i="29"/>
  <c r="O122" i="29"/>
  <c r="M122" i="29"/>
  <c r="O121" i="29"/>
  <c r="M121" i="29"/>
  <c r="O120" i="29"/>
  <c r="M120" i="29"/>
  <c r="O119" i="29"/>
  <c r="M119" i="29"/>
  <c r="O118" i="29"/>
  <c r="M118" i="29"/>
  <c r="O117" i="29"/>
  <c r="M117" i="29"/>
  <c r="O116" i="29"/>
  <c r="M116" i="29"/>
  <c r="O115" i="29"/>
  <c r="M115" i="29"/>
  <c r="O114" i="29"/>
  <c r="M114" i="29"/>
  <c r="O113" i="29"/>
  <c r="M113" i="29"/>
  <c r="O112" i="29"/>
  <c r="M112" i="29"/>
  <c r="O111" i="29"/>
  <c r="M111" i="29"/>
  <c r="O110" i="29"/>
  <c r="M110" i="29"/>
  <c r="O109" i="29"/>
  <c r="M109" i="29"/>
  <c r="O108" i="29"/>
  <c r="M108" i="29"/>
  <c r="O107" i="29"/>
  <c r="M107" i="29"/>
  <c r="O106" i="29"/>
  <c r="M106" i="29"/>
  <c r="O105" i="29"/>
  <c r="O104" i="29"/>
  <c r="D96" i="29"/>
  <c r="L93" i="29"/>
  <c r="J93" i="29"/>
  <c r="D91" i="29"/>
  <c r="D89" i="29"/>
  <c r="N72" i="29"/>
  <c r="L72" i="29"/>
  <c r="N71" i="29"/>
  <c r="L71" i="29"/>
  <c r="N70" i="29"/>
  <c r="L70" i="29"/>
  <c r="N69" i="29"/>
  <c r="L69" i="29"/>
  <c r="N68" i="29"/>
  <c r="L68" i="29"/>
  <c r="N67" i="29"/>
  <c r="L67" i="29"/>
  <c r="N66" i="29"/>
  <c r="L66" i="29"/>
  <c r="N65" i="29"/>
  <c r="L65" i="29"/>
  <c r="N64" i="29"/>
  <c r="L64" i="29"/>
  <c r="N63" i="29"/>
  <c r="L63" i="29"/>
  <c r="N62" i="29"/>
  <c r="L62" i="29"/>
  <c r="N61" i="29"/>
  <c r="L61" i="29"/>
  <c r="N60" i="29"/>
  <c r="L60" i="29"/>
  <c r="N59" i="29"/>
  <c r="L59" i="29"/>
  <c r="N58" i="29"/>
  <c r="L58" i="29"/>
  <c r="N57" i="29"/>
  <c r="L57" i="29"/>
  <c r="N56" i="29"/>
  <c r="L56" i="29"/>
  <c r="N55" i="29"/>
  <c r="L55" i="29"/>
  <c r="N54" i="29"/>
  <c r="L54" i="29"/>
  <c r="N53" i="29"/>
  <c r="L53" i="29"/>
  <c r="N52" i="29"/>
  <c r="L52" i="29"/>
  <c r="N51" i="29"/>
  <c r="L51" i="29"/>
  <c r="N50" i="29"/>
  <c r="L50" i="29"/>
  <c r="N49" i="29"/>
  <c r="L49" i="29"/>
  <c r="N48" i="29"/>
  <c r="L48" i="29"/>
  <c r="N47" i="29"/>
  <c r="L47" i="29"/>
  <c r="N46" i="29"/>
  <c r="L46" i="29"/>
  <c r="N45" i="29"/>
  <c r="L45" i="29"/>
  <c r="N44" i="29"/>
  <c r="L44" i="29"/>
  <c r="N43" i="29"/>
  <c r="L43" i="29"/>
  <c r="N42" i="29"/>
  <c r="L42" i="29"/>
  <c r="N41" i="29"/>
  <c r="L41" i="29"/>
  <c r="N40" i="29"/>
  <c r="L40" i="29"/>
  <c r="N39" i="29"/>
  <c r="L39" i="29"/>
  <c r="N38" i="29"/>
  <c r="L38" i="29"/>
  <c r="N37" i="29"/>
  <c r="L37" i="29"/>
  <c r="N36" i="29"/>
  <c r="L36" i="29"/>
  <c r="N35" i="29"/>
  <c r="L35" i="29"/>
  <c r="N34" i="29"/>
  <c r="L34" i="29"/>
  <c r="N33" i="29"/>
  <c r="L33" i="29"/>
  <c r="N32" i="29"/>
  <c r="L32" i="29"/>
  <c r="N31" i="29"/>
  <c r="L31" i="29"/>
  <c r="N30" i="29"/>
  <c r="L30" i="29"/>
  <c r="N29" i="29"/>
  <c r="L29" i="29"/>
  <c r="N28" i="29"/>
  <c r="L28" i="29"/>
  <c r="N27" i="29"/>
  <c r="L27" i="29"/>
  <c r="N26" i="29"/>
  <c r="L26" i="29"/>
  <c r="N25" i="29"/>
  <c r="L25" i="29"/>
  <c r="N24" i="29"/>
  <c r="N23" i="29"/>
  <c r="N22" i="29"/>
  <c r="C17" i="29"/>
  <c r="C18" i="29" s="1"/>
  <c r="C19" i="29" s="1"/>
  <c r="C20" i="29" s="1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C45" i="29" s="1"/>
  <c r="C46" i="29" s="1"/>
  <c r="C47" i="29" s="1"/>
  <c r="C48" i="29" s="1"/>
  <c r="C49" i="29" s="1"/>
  <c r="C50" i="29" s="1"/>
  <c r="C51" i="29" s="1"/>
  <c r="C52" i="29" s="1"/>
  <c r="C53" i="29" s="1"/>
  <c r="C54" i="29" s="1"/>
  <c r="C55" i="29" s="1"/>
  <c r="C56" i="29" s="1"/>
  <c r="C57" i="29" s="1"/>
  <c r="C58" i="29" s="1"/>
  <c r="C59" i="29" s="1"/>
  <c r="C60" i="29" s="1"/>
  <c r="C61" i="29" s="1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K11" i="29"/>
  <c r="I11" i="29"/>
  <c r="P154" i="28"/>
  <c r="O154" i="28"/>
  <c r="M154" i="28"/>
  <c r="P153" i="28"/>
  <c r="O153" i="28"/>
  <c r="M153" i="28"/>
  <c r="P152" i="28"/>
  <c r="O152" i="28"/>
  <c r="M152" i="28"/>
  <c r="P151" i="28"/>
  <c r="O151" i="28"/>
  <c r="M151" i="28"/>
  <c r="P150" i="28"/>
  <c r="O150" i="28"/>
  <c r="M150" i="28"/>
  <c r="P149" i="28"/>
  <c r="O149" i="28"/>
  <c r="M149" i="28"/>
  <c r="P148" i="28"/>
  <c r="O148" i="28"/>
  <c r="M148" i="28"/>
  <c r="P147" i="28"/>
  <c r="O147" i="28"/>
  <c r="M147" i="28"/>
  <c r="P146" i="28"/>
  <c r="O146" i="28"/>
  <c r="M146" i="28"/>
  <c r="P145" i="28"/>
  <c r="O145" i="28"/>
  <c r="M145" i="28"/>
  <c r="P144" i="28"/>
  <c r="O144" i="28"/>
  <c r="M144" i="28"/>
  <c r="P143" i="28"/>
  <c r="O143" i="28"/>
  <c r="M143" i="28"/>
  <c r="P142" i="28"/>
  <c r="O142" i="28"/>
  <c r="M142" i="28"/>
  <c r="P141" i="28"/>
  <c r="O141" i="28"/>
  <c r="M141" i="28"/>
  <c r="P140" i="28"/>
  <c r="O140" i="28"/>
  <c r="M140" i="28"/>
  <c r="P139" i="28"/>
  <c r="O139" i="28"/>
  <c r="M139" i="28"/>
  <c r="P138" i="28"/>
  <c r="O138" i="28"/>
  <c r="M138" i="28"/>
  <c r="P137" i="28"/>
  <c r="O137" i="28"/>
  <c r="M137" i="28"/>
  <c r="P136" i="28"/>
  <c r="O136" i="28"/>
  <c r="M136" i="28"/>
  <c r="P135" i="28"/>
  <c r="O135" i="28"/>
  <c r="M135" i="28"/>
  <c r="P134" i="28"/>
  <c r="O134" i="28"/>
  <c r="M134" i="28"/>
  <c r="P133" i="28"/>
  <c r="O133" i="28"/>
  <c r="M133" i="28"/>
  <c r="P132" i="28"/>
  <c r="O132" i="28"/>
  <c r="M132" i="28"/>
  <c r="P131" i="28"/>
  <c r="O131" i="28"/>
  <c r="M131" i="28"/>
  <c r="O130" i="28"/>
  <c r="M130" i="28"/>
  <c r="O129" i="28"/>
  <c r="M129" i="28"/>
  <c r="O128" i="28"/>
  <c r="M128" i="28"/>
  <c r="O127" i="28"/>
  <c r="M127" i="28"/>
  <c r="O126" i="28"/>
  <c r="M126" i="28"/>
  <c r="O125" i="28"/>
  <c r="M125" i="28"/>
  <c r="O124" i="28"/>
  <c r="M124" i="28"/>
  <c r="O123" i="28"/>
  <c r="M123" i="28"/>
  <c r="O122" i="28"/>
  <c r="M122" i="28"/>
  <c r="O121" i="28"/>
  <c r="M121" i="28"/>
  <c r="O120" i="28"/>
  <c r="M120" i="28"/>
  <c r="O119" i="28"/>
  <c r="M119" i="28"/>
  <c r="O118" i="28"/>
  <c r="M118" i="28"/>
  <c r="O117" i="28"/>
  <c r="M117" i="28"/>
  <c r="O116" i="28"/>
  <c r="M116" i="28"/>
  <c r="O115" i="28"/>
  <c r="M115" i="28"/>
  <c r="O114" i="28"/>
  <c r="M114" i="28"/>
  <c r="O113" i="28"/>
  <c r="M113" i="28"/>
  <c r="O112" i="28"/>
  <c r="M112" i="28"/>
  <c r="O111" i="28"/>
  <c r="M111" i="28"/>
  <c r="O110" i="28"/>
  <c r="M110" i="28"/>
  <c r="O109" i="28"/>
  <c r="M109" i="28"/>
  <c r="O108" i="28"/>
  <c r="M108" i="28"/>
  <c r="O107" i="28"/>
  <c r="M107" i="28"/>
  <c r="O106" i="28"/>
  <c r="M106" i="28"/>
  <c r="O105" i="28"/>
  <c r="O104" i="28"/>
  <c r="D96" i="28"/>
  <c r="D94" i="28"/>
  <c r="L93" i="28"/>
  <c r="J93" i="28"/>
  <c r="C99" i="28"/>
  <c r="D92" i="28"/>
  <c r="D91" i="28"/>
  <c r="D89" i="28"/>
  <c r="N72" i="28"/>
  <c r="L72" i="28"/>
  <c r="N71" i="28"/>
  <c r="L71" i="28"/>
  <c r="N70" i="28"/>
  <c r="L70" i="28"/>
  <c r="N69" i="28"/>
  <c r="L69" i="28"/>
  <c r="N68" i="28"/>
  <c r="L68" i="28"/>
  <c r="N67" i="28"/>
  <c r="L67" i="28"/>
  <c r="N66" i="28"/>
  <c r="L66" i="28"/>
  <c r="N65" i="28"/>
  <c r="L65" i="28"/>
  <c r="N64" i="28"/>
  <c r="L64" i="28"/>
  <c r="N63" i="28"/>
  <c r="L63" i="28"/>
  <c r="N62" i="28"/>
  <c r="L62" i="28"/>
  <c r="N61" i="28"/>
  <c r="L61" i="28"/>
  <c r="N60" i="28"/>
  <c r="L60" i="28"/>
  <c r="N59" i="28"/>
  <c r="L59" i="28"/>
  <c r="N58" i="28"/>
  <c r="L58" i="28"/>
  <c r="N57" i="28"/>
  <c r="L57" i="28"/>
  <c r="N56" i="28"/>
  <c r="L56" i="28"/>
  <c r="N55" i="28"/>
  <c r="L55" i="28"/>
  <c r="N54" i="28"/>
  <c r="L54" i="28"/>
  <c r="N53" i="28"/>
  <c r="L53" i="28"/>
  <c r="N52" i="28"/>
  <c r="L52" i="28"/>
  <c r="N51" i="28"/>
  <c r="L51" i="28"/>
  <c r="N50" i="28"/>
  <c r="L50" i="28"/>
  <c r="N49" i="28"/>
  <c r="L49" i="28"/>
  <c r="N48" i="28"/>
  <c r="L48" i="28"/>
  <c r="N47" i="28"/>
  <c r="L47" i="28"/>
  <c r="N46" i="28"/>
  <c r="L46" i="28"/>
  <c r="N45" i="28"/>
  <c r="L45" i="28"/>
  <c r="N44" i="28"/>
  <c r="L44" i="28"/>
  <c r="N43" i="28"/>
  <c r="L43" i="28"/>
  <c r="N42" i="28"/>
  <c r="L42" i="28"/>
  <c r="N41" i="28"/>
  <c r="L41" i="28"/>
  <c r="N40" i="28"/>
  <c r="L40" i="28"/>
  <c r="N39" i="28"/>
  <c r="L39" i="28"/>
  <c r="N38" i="28"/>
  <c r="L38" i="28"/>
  <c r="N37" i="28"/>
  <c r="L37" i="28"/>
  <c r="N36" i="28"/>
  <c r="L36" i="28"/>
  <c r="N35" i="28"/>
  <c r="L35" i="28"/>
  <c r="N34" i="28"/>
  <c r="L34" i="28"/>
  <c r="N33" i="28"/>
  <c r="L33" i="28"/>
  <c r="N32" i="28"/>
  <c r="L32" i="28"/>
  <c r="N31" i="28"/>
  <c r="L31" i="28"/>
  <c r="N30" i="28"/>
  <c r="L30" i="28"/>
  <c r="N29" i="28"/>
  <c r="L29" i="28"/>
  <c r="N28" i="28"/>
  <c r="L28" i="28"/>
  <c r="N27" i="28"/>
  <c r="L27" i="28"/>
  <c r="N26" i="28"/>
  <c r="L26" i="28"/>
  <c r="N25" i="28"/>
  <c r="L25" i="28"/>
  <c r="N24" i="28"/>
  <c r="N23" i="28"/>
  <c r="N22" i="28"/>
  <c r="C17" i="28"/>
  <c r="C18" i="28"/>
  <c r="C19" i="28" s="1"/>
  <c r="C20" i="28"/>
  <c r="C21" i="28" s="1"/>
  <c r="C22" i="28" s="1"/>
  <c r="C23" i="28" s="1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K11" i="28"/>
  <c r="I11" i="28"/>
  <c r="D94" i="27"/>
  <c r="D92" i="27"/>
  <c r="M17" i="27"/>
  <c r="N17" i="27"/>
  <c r="K17" i="27"/>
  <c r="L17" i="27" s="1"/>
  <c r="N101" i="25"/>
  <c r="O101" i="25" s="1"/>
  <c r="P101" i="25"/>
  <c r="L101" i="25"/>
  <c r="M101" i="25"/>
  <c r="N100" i="25"/>
  <c r="O100" i="25" s="1"/>
  <c r="L100" i="25"/>
  <c r="M100" i="25" s="1"/>
  <c r="N99" i="25"/>
  <c r="O99" i="25"/>
  <c r="L99" i="25"/>
  <c r="M99" i="25" s="1"/>
  <c r="M20" i="25"/>
  <c r="N20" i="25" s="1"/>
  <c r="O20" i="25" s="1"/>
  <c r="K20" i="25"/>
  <c r="L20" i="25" s="1"/>
  <c r="D92" i="24"/>
  <c r="N100" i="23"/>
  <c r="O100" i="23" s="1"/>
  <c r="L100" i="23"/>
  <c r="M100" i="23" s="1"/>
  <c r="P100" i="23" s="1"/>
  <c r="M19" i="23"/>
  <c r="N19" i="23" s="1"/>
  <c r="K19" i="23"/>
  <c r="L19" i="23"/>
  <c r="N101" i="22"/>
  <c r="O101" i="22"/>
  <c r="L101" i="22"/>
  <c r="M101" i="22" s="1"/>
  <c r="M20" i="22"/>
  <c r="N20" i="22" s="1"/>
  <c r="K20" i="22"/>
  <c r="L20" i="22" s="1"/>
  <c r="N104" i="11"/>
  <c r="O104" i="11"/>
  <c r="L104" i="11"/>
  <c r="M104" i="11" s="1"/>
  <c r="M23" i="11"/>
  <c r="N23" i="11" s="1"/>
  <c r="K23" i="11"/>
  <c r="L23" i="11" s="1"/>
  <c r="N105" i="10"/>
  <c r="O105" i="10"/>
  <c r="L105" i="10"/>
  <c r="M105" i="10" s="1"/>
  <c r="M24" i="10"/>
  <c r="N24" i="10" s="1"/>
  <c r="K24" i="10"/>
  <c r="L24" i="10" s="1"/>
  <c r="N104" i="9"/>
  <c r="O104" i="9"/>
  <c r="L104" i="9"/>
  <c r="M104" i="9"/>
  <c r="M23" i="9"/>
  <c r="N23" i="9" s="1"/>
  <c r="K23" i="9"/>
  <c r="L23" i="9" s="1"/>
  <c r="O23" i="9" s="1"/>
  <c r="N103" i="8"/>
  <c r="O103" i="8" s="1"/>
  <c r="L103" i="8"/>
  <c r="M103" i="8" s="1"/>
  <c r="M22" i="8"/>
  <c r="N22" i="8" s="1"/>
  <c r="O22" i="8" s="1"/>
  <c r="K22" i="8"/>
  <c r="L22" i="8" s="1"/>
  <c r="N105" i="7"/>
  <c r="O105" i="7" s="1"/>
  <c r="L105" i="7"/>
  <c r="M105" i="7" s="1"/>
  <c r="M24" i="7"/>
  <c r="N24" i="7"/>
  <c r="O24" i="7" s="1"/>
  <c r="K24" i="7"/>
  <c r="L24" i="7" s="1"/>
  <c r="N103" i="6"/>
  <c r="O103" i="6" s="1"/>
  <c r="L103" i="6"/>
  <c r="M103" i="6" s="1"/>
  <c r="M22" i="6"/>
  <c r="N22" i="6"/>
  <c r="K22" i="6"/>
  <c r="L22" i="6" s="1"/>
  <c r="M21" i="5"/>
  <c r="N21" i="5" s="1"/>
  <c r="O21" i="5" s="1"/>
  <c r="K21" i="5"/>
  <c r="L21" i="5" s="1"/>
  <c r="N102" i="4"/>
  <c r="O102" i="4" s="1"/>
  <c r="L102" i="4"/>
  <c r="M102" i="4" s="1"/>
  <c r="P102" i="4"/>
  <c r="M21" i="4"/>
  <c r="N21" i="4" s="1"/>
  <c r="K21" i="4"/>
  <c r="L21" i="4" s="1"/>
  <c r="O21" i="4" s="1"/>
  <c r="N102" i="3"/>
  <c r="O102" i="3" s="1"/>
  <c r="P102" i="3" s="1"/>
  <c r="L102" i="3"/>
  <c r="M102" i="3"/>
  <c r="M21" i="3"/>
  <c r="N21" i="3" s="1"/>
  <c r="L21" i="3"/>
  <c r="K21" i="3"/>
  <c r="P86" i="6"/>
  <c r="O5" i="6"/>
  <c r="P87" i="6"/>
  <c r="J153" i="25"/>
  <c r="J154" i="25"/>
  <c r="J152" i="25"/>
  <c r="J151" i="25"/>
  <c r="J150" i="25"/>
  <c r="J149" i="25"/>
  <c r="J148" i="25"/>
  <c r="J147" i="25"/>
  <c r="J146" i="25"/>
  <c r="J145" i="25"/>
  <c r="J144" i="25"/>
  <c r="J143" i="25"/>
  <c r="J142" i="25"/>
  <c r="J141" i="25"/>
  <c r="J140" i="25"/>
  <c r="J139" i="25"/>
  <c r="J138" i="25"/>
  <c r="J137" i="25"/>
  <c r="J136" i="25"/>
  <c r="J135" i="25"/>
  <c r="J134" i="25"/>
  <c r="J133" i="25"/>
  <c r="M19" i="25"/>
  <c r="N19" i="25"/>
  <c r="O19" i="25" s="1"/>
  <c r="M18" i="25"/>
  <c r="N18" i="25" s="1"/>
  <c r="K19" i="25"/>
  <c r="L19" i="25"/>
  <c r="K18" i="25"/>
  <c r="L18" i="25" s="1"/>
  <c r="O18" i="25" s="1"/>
  <c r="I19" i="25"/>
  <c r="C17" i="25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47" i="25" s="1"/>
  <c r="C48" i="25" s="1"/>
  <c r="C49" i="25" s="1"/>
  <c r="C50" i="25" s="1"/>
  <c r="C51" i="25" s="1"/>
  <c r="C52" i="25" s="1"/>
  <c r="C53" i="25" s="1"/>
  <c r="C54" i="25" s="1"/>
  <c r="C55" i="25" s="1"/>
  <c r="C56" i="25" s="1"/>
  <c r="C57" i="25" s="1"/>
  <c r="C58" i="25" s="1"/>
  <c r="C59" i="25" s="1"/>
  <c r="C60" i="25" s="1"/>
  <c r="C61" i="25" s="1"/>
  <c r="C62" i="25" s="1"/>
  <c r="C63" i="25" s="1"/>
  <c r="C64" i="25" s="1"/>
  <c r="C65" i="25" s="1"/>
  <c r="C66" i="25" s="1"/>
  <c r="C67" i="25" s="1"/>
  <c r="C68" i="25" s="1"/>
  <c r="C69" i="25" s="1"/>
  <c r="C70" i="25" s="1"/>
  <c r="C71" i="25" s="1"/>
  <c r="C72" i="25" s="1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C17" i="24"/>
  <c r="C18" i="24" s="1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  <c r="C54" i="24" s="1"/>
  <c r="C55" i="24" s="1"/>
  <c r="C56" i="24" s="1"/>
  <c r="C57" i="24" s="1"/>
  <c r="C58" i="24" s="1"/>
  <c r="C59" i="24" s="1"/>
  <c r="C60" i="24" s="1"/>
  <c r="C61" i="24" s="1"/>
  <c r="C62" i="24" s="1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W31" i="17"/>
  <c r="P31" i="17"/>
  <c r="P154" i="27"/>
  <c r="O154" i="27"/>
  <c r="M154" i="27"/>
  <c r="P153" i="27"/>
  <c r="O153" i="27"/>
  <c r="M153" i="27"/>
  <c r="P152" i="27"/>
  <c r="O152" i="27"/>
  <c r="M152" i="27"/>
  <c r="P151" i="27"/>
  <c r="O151" i="27"/>
  <c r="M151" i="27"/>
  <c r="P150" i="27"/>
  <c r="O150" i="27"/>
  <c r="M150" i="27"/>
  <c r="P149" i="27"/>
  <c r="O149" i="27"/>
  <c r="M149" i="27"/>
  <c r="P148" i="27"/>
  <c r="O148" i="27"/>
  <c r="M148" i="27"/>
  <c r="P147" i="27"/>
  <c r="O147" i="27"/>
  <c r="M147" i="27"/>
  <c r="P146" i="27"/>
  <c r="O146" i="27"/>
  <c r="M146" i="27"/>
  <c r="P145" i="27"/>
  <c r="O145" i="27"/>
  <c r="M145" i="27"/>
  <c r="P144" i="27"/>
  <c r="O144" i="27"/>
  <c r="M144" i="27"/>
  <c r="P143" i="27"/>
  <c r="O143" i="27"/>
  <c r="M143" i="27"/>
  <c r="P142" i="27"/>
  <c r="O142" i="27"/>
  <c r="M142" i="27"/>
  <c r="P141" i="27"/>
  <c r="O141" i="27"/>
  <c r="M141" i="27"/>
  <c r="P140" i="27"/>
  <c r="O140" i="27"/>
  <c r="M140" i="27"/>
  <c r="P139" i="27"/>
  <c r="O139" i="27"/>
  <c r="M139" i="27"/>
  <c r="P138" i="27"/>
  <c r="O138" i="27"/>
  <c r="M138" i="27"/>
  <c r="P137" i="27"/>
  <c r="O137" i="27"/>
  <c r="M137" i="27"/>
  <c r="P136" i="27"/>
  <c r="O136" i="27"/>
  <c r="M136" i="27"/>
  <c r="P135" i="27"/>
  <c r="O135" i="27"/>
  <c r="M135" i="27"/>
  <c r="P134" i="27"/>
  <c r="O134" i="27"/>
  <c r="M134" i="27"/>
  <c r="P133" i="27"/>
  <c r="O133" i="27"/>
  <c r="M133" i="27"/>
  <c r="P132" i="27"/>
  <c r="O132" i="27"/>
  <c r="M132" i="27"/>
  <c r="P131" i="27"/>
  <c r="O131" i="27"/>
  <c r="M131" i="27"/>
  <c r="O130" i="27"/>
  <c r="M130" i="27"/>
  <c r="O129" i="27"/>
  <c r="M129" i="27"/>
  <c r="O128" i="27"/>
  <c r="M128" i="27"/>
  <c r="O127" i="27"/>
  <c r="M127" i="27"/>
  <c r="O126" i="27"/>
  <c r="M126" i="27"/>
  <c r="O125" i="27"/>
  <c r="M125" i="27"/>
  <c r="O124" i="27"/>
  <c r="M124" i="27"/>
  <c r="O123" i="27"/>
  <c r="M123" i="27"/>
  <c r="O122" i="27"/>
  <c r="M122" i="27"/>
  <c r="O121" i="27"/>
  <c r="M121" i="27"/>
  <c r="O120" i="27"/>
  <c r="M120" i="27"/>
  <c r="O119" i="27"/>
  <c r="M119" i="27"/>
  <c r="O118" i="27"/>
  <c r="M118" i="27"/>
  <c r="O117" i="27"/>
  <c r="M117" i="27"/>
  <c r="O116" i="27"/>
  <c r="M116" i="27"/>
  <c r="O115" i="27"/>
  <c r="M115" i="27"/>
  <c r="O114" i="27"/>
  <c r="M114" i="27"/>
  <c r="O113" i="27"/>
  <c r="M113" i="27"/>
  <c r="O112" i="27"/>
  <c r="M112" i="27"/>
  <c r="O111" i="27"/>
  <c r="M111" i="27"/>
  <c r="O110" i="27"/>
  <c r="M110" i="27"/>
  <c r="O109" i="27"/>
  <c r="M109" i="27"/>
  <c r="O108" i="27"/>
  <c r="M108" i="27"/>
  <c r="O107" i="27"/>
  <c r="M107" i="27"/>
  <c r="O106" i="27"/>
  <c r="O105" i="27"/>
  <c r="D96" i="27"/>
  <c r="L93" i="27"/>
  <c r="J93" i="27"/>
  <c r="D91" i="27"/>
  <c r="D89" i="27"/>
  <c r="N72" i="27"/>
  <c r="L72" i="27"/>
  <c r="N71" i="27"/>
  <c r="L71" i="27"/>
  <c r="N70" i="27"/>
  <c r="L70" i="27"/>
  <c r="N69" i="27"/>
  <c r="L69" i="27"/>
  <c r="N68" i="27"/>
  <c r="L68" i="27"/>
  <c r="N67" i="27"/>
  <c r="L67" i="27"/>
  <c r="N66" i="27"/>
  <c r="L66" i="27"/>
  <c r="N65" i="27"/>
  <c r="L65" i="27"/>
  <c r="N64" i="27"/>
  <c r="L64" i="27"/>
  <c r="N63" i="27"/>
  <c r="L63" i="27"/>
  <c r="N62" i="27"/>
  <c r="L62" i="27"/>
  <c r="N61" i="27"/>
  <c r="L61" i="27"/>
  <c r="N60" i="27"/>
  <c r="L60" i="27"/>
  <c r="N59" i="27"/>
  <c r="L59" i="27"/>
  <c r="N58" i="27"/>
  <c r="L58" i="27"/>
  <c r="N57" i="27"/>
  <c r="L57" i="27"/>
  <c r="N56" i="27"/>
  <c r="L56" i="27"/>
  <c r="N55" i="27"/>
  <c r="L55" i="27"/>
  <c r="N54" i="27"/>
  <c r="L54" i="27"/>
  <c r="N53" i="27"/>
  <c r="L53" i="27"/>
  <c r="N52" i="27"/>
  <c r="L52" i="27"/>
  <c r="N51" i="27"/>
  <c r="L51" i="27"/>
  <c r="N50" i="27"/>
  <c r="L50" i="27"/>
  <c r="N49" i="27"/>
  <c r="L49" i="27"/>
  <c r="N48" i="27"/>
  <c r="L48" i="27"/>
  <c r="N47" i="27"/>
  <c r="L47" i="27"/>
  <c r="N46" i="27"/>
  <c r="L46" i="27"/>
  <c r="N45" i="27"/>
  <c r="L45" i="27"/>
  <c r="N44" i="27"/>
  <c r="L44" i="27"/>
  <c r="N43" i="27"/>
  <c r="L43" i="27"/>
  <c r="O43" i="27" s="1"/>
  <c r="N42" i="27"/>
  <c r="L42" i="27"/>
  <c r="N41" i="27"/>
  <c r="L41" i="27"/>
  <c r="N40" i="27"/>
  <c r="L40" i="27"/>
  <c r="N39" i="27"/>
  <c r="L39" i="27"/>
  <c r="N38" i="27"/>
  <c r="L38" i="27"/>
  <c r="N37" i="27"/>
  <c r="L37" i="27"/>
  <c r="N36" i="27"/>
  <c r="L36" i="27"/>
  <c r="N35" i="27"/>
  <c r="L35" i="27"/>
  <c r="N34" i="27"/>
  <c r="L34" i="27"/>
  <c r="N33" i="27"/>
  <c r="L33" i="27"/>
  <c r="N32" i="27"/>
  <c r="L32" i="27"/>
  <c r="N31" i="27"/>
  <c r="L31" i="27"/>
  <c r="N30" i="27"/>
  <c r="L30" i="27"/>
  <c r="N29" i="27"/>
  <c r="L29" i="27"/>
  <c r="N28" i="27"/>
  <c r="L28" i="27"/>
  <c r="N27" i="27"/>
  <c r="L27" i="27"/>
  <c r="N26" i="27"/>
  <c r="L26" i="27"/>
  <c r="N25" i="27"/>
  <c r="N24" i="27"/>
  <c r="N23" i="27"/>
  <c r="O23" i="27" s="1"/>
  <c r="C17" i="27"/>
  <c r="C18" i="27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 s="1"/>
  <c r="C47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K11" i="27"/>
  <c r="I11" i="27"/>
  <c r="M17" i="25"/>
  <c r="N17" i="25"/>
  <c r="O17" i="25" s="1"/>
  <c r="K17" i="25"/>
  <c r="L17" i="25" s="1"/>
  <c r="M17" i="24"/>
  <c r="N17" i="24" s="1"/>
  <c r="K17" i="24"/>
  <c r="N99" i="23"/>
  <c r="O99" i="23" s="1"/>
  <c r="L99" i="23"/>
  <c r="M18" i="23"/>
  <c r="N18" i="23" s="1"/>
  <c r="O18" i="23" s="1"/>
  <c r="K18" i="23"/>
  <c r="L18" i="23" s="1"/>
  <c r="N100" i="22"/>
  <c r="L100" i="22"/>
  <c r="M19" i="22"/>
  <c r="N19" i="22"/>
  <c r="K19" i="22"/>
  <c r="N103" i="11"/>
  <c r="L103" i="11"/>
  <c r="M103" i="11" s="1"/>
  <c r="M22" i="11"/>
  <c r="N22" i="11" s="1"/>
  <c r="K22" i="11"/>
  <c r="N104" i="10"/>
  <c r="L104" i="10"/>
  <c r="M23" i="10"/>
  <c r="N23" i="10" s="1"/>
  <c r="K23" i="10"/>
  <c r="N103" i="9"/>
  <c r="L103" i="9"/>
  <c r="M103" i="9" s="1"/>
  <c r="M22" i="9"/>
  <c r="N22" i="9" s="1"/>
  <c r="K22" i="9"/>
  <c r="L22" i="9" s="1"/>
  <c r="N102" i="8"/>
  <c r="L102" i="8"/>
  <c r="M21" i="8"/>
  <c r="N21" i="8" s="1"/>
  <c r="K21" i="8"/>
  <c r="N104" i="7"/>
  <c r="O104" i="7" s="1"/>
  <c r="L104" i="7"/>
  <c r="M23" i="7"/>
  <c r="N23" i="7" s="1"/>
  <c r="K23" i="7"/>
  <c r="N102" i="6"/>
  <c r="L102" i="6"/>
  <c r="M102" i="6" s="1"/>
  <c r="M21" i="6"/>
  <c r="N21" i="6"/>
  <c r="K21" i="6"/>
  <c r="N101" i="5"/>
  <c r="L101" i="5"/>
  <c r="M20" i="5"/>
  <c r="N20" i="5" s="1"/>
  <c r="K20" i="5"/>
  <c r="N101" i="4"/>
  <c r="O101" i="4" s="1"/>
  <c r="L101" i="4"/>
  <c r="M20" i="4"/>
  <c r="N20" i="4" s="1"/>
  <c r="K20" i="4"/>
  <c r="N101" i="3"/>
  <c r="L101" i="3"/>
  <c r="M20" i="3"/>
  <c r="N20" i="3" s="1"/>
  <c r="K20" i="3"/>
  <c r="L20" i="3" s="1"/>
  <c r="I10" i="45"/>
  <c r="F81" i="2"/>
  <c r="J94" i="47" s="1"/>
  <c r="F87" i="2"/>
  <c r="F86" i="2"/>
  <c r="C17" i="3"/>
  <c r="C18" i="3" s="1"/>
  <c r="C19" i="3" s="1"/>
  <c r="C20" i="3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K19" i="3"/>
  <c r="L19" i="3" s="1"/>
  <c r="P18" i="17"/>
  <c r="C17" i="4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K19" i="4"/>
  <c r="P19" i="17"/>
  <c r="C17" i="5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K19" i="5"/>
  <c r="P20" i="17"/>
  <c r="C17" i="6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K20" i="6"/>
  <c r="L20" i="6" s="1"/>
  <c r="P21" i="17"/>
  <c r="C17" i="7"/>
  <c r="C18" i="7"/>
  <c r="C19" i="7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K22" i="7"/>
  <c r="L22" i="7" s="1"/>
  <c r="P22" i="17"/>
  <c r="C17" i="8"/>
  <c r="C18" i="8" s="1"/>
  <c r="C19" i="8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K20" i="8"/>
  <c r="P23" i="17"/>
  <c r="C17" i="9"/>
  <c r="C18" i="9"/>
  <c r="C19" i="9"/>
  <c r="C20" i="9" s="1"/>
  <c r="C21" i="9" s="1"/>
  <c r="C22" i="9" s="1"/>
  <c r="C23" i="9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K21" i="9"/>
  <c r="L21" i="9"/>
  <c r="P24" i="17"/>
  <c r="C17" i="10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K22" i="10"/>
  <c r="L22" i="10" s="1"/>
  <c r="P25" i="17"/>
  <c r="C17" i="11"/>
  <c r="C18" i="11" s="1"/>
  <c r="C19" i="11" s="1"/>
  <c r="C20" i="11"/>
  <c r="C21" i="11" s="1"/>
  <c r="C22" i="11" s="1"/>
  <c r="C23" i="11" s="1"/>
  <c r="C24" i="1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K21" i="11"/>
  <c r="L21" i="11" s="1"/>
  <c r="P26" i="17"/>
  <c r="C17" i="22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K18" i="22"/>
  <c r="L18" i="22" s="1"/>
  <c r="P27" i="17"/>
  <c r="C17" i="23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K17" i="23"/>
  <c r="P28" i="17"/>
  <c r="P29" i="17"/>
  <c r="P30" i="17"/>
  <c r="W29" i="17"/>
  <c r="W30" i="17"/>
  <c r="C17" i="13"/>
  <c r="M19" i="3"/>
  <c r="N19" i="3" s="1"/>
  <c r="O19" i="3" s="1"/>
  <c r="M19" i="4"/>
  <c r="M19" i="5"/>
  <c r="M20" i="6"/>
  <c r="M22" i="7"/>
  <c r="N22" i="7" s="1"/>
  <c r="O22" i="7" s="1"/>
  <c r="M20" i="8"/>
  <c r="M21" i="9"/>
  <c r="N21" i="9" s="1"/>
  <c r="O21" i="9" s="1"/>
  <c r="M22" i="10"/>
  <c r="M21" i="11"/>
  <c r="N21" i="11" s="1"/>
  <c r="O21" i="11" s="1"/>
  <c r="M18" i="22"/>
  <c r="N18" i="22"/>
  <c r="M17" i="23"/>
  <c r="N17" i="23" s="1"/>
  <c r="O17" i="23" s="1"/>
  <c r="F81" i="1"/>
  <c r="I12" i="47" s="1"/>
  <c r="F86" i="1"/>
  <c r="F90" i="1"/>
  <c r="P1" i="25"/>
  <c r="P83" i="25" s="1"/>
  <c r="I11" i="25"/>
  <c r="K11" i="25"/>
  <c r="N27" i="25"/>
  <c r="N28" i="25"/>
  <c r="L29" i="25"/>
  <c r="N29" i="25"/>
  <c r="L30" i="25"/>
  <c r="N30" i="25"/>
  <c r="L31" i="25"/>
  <c r="N31" i="25"/>
  <c r="L32" i="25"/>
  <c r="N32" i="25"/>
  <c r="L33" i="25"/>
  <c r="N33" i="25"/>
  <c r="L34" i="25"/>
  <c r="N34" i="25"/>
  <c r="L35" i="25"/>
  <c r="N35" i="25"/>
  <c r="L36" i="25"/>
  <c r="N36" i="25"/>
  <c r="L37" i="25"/>
  <c r="N37" i="25"/>
  <c r="L38" i="25"/>
  <c r="N38" i="25"/>
  <c r="L39" i="25"/>
  <c r="N39" i="25"/>
  <c r="L40" i="25"/>
  <c r="N40" i="25"/>
  <c r="L41" i="25"/>
  <c r="N41" i="25"/>
  <c r="L42" i="25"/>
  <c r="N42" i="25"/>
  <c r="L43" i="25"/>
  <c r="N43" i="25"/>
  <c r="L44" i="25"/>
  <c r="N44" i="25"/>
  <c r="L45" i="25"/>
  <c r="N45" i="25"/>
  <c r="L46" i="25"/>
  <c r="N46" i="25"/>
  <c r="L47" i="25"/>
  <c r="N47" i="25"/>
  <c r="L48" i="25"/>
  <c r="N48" i="25"/>
  <c r="L49" i="25"/>
  <c r="N49" i="25"/>
  <c r="L50" i="25"/>
  <c r="N50" i="25"/>
  <c r="L51" i="25"/>
  <c r="N51" i="25"/>
  <c r="L52" i="25"/>
  <c r="N52" i="25"/>
  <c r="L53" i="25"/>
  <c r="N53" i="25"/>
  <c r="L54" i="25"/>
  <c r="N54" i="25"/>
  <c r="L55" i="25"/>
  <c r="N55" i="25"/>
  <c r="L56" i="25"/>
  <c r="N56" i="25"/>
  <c r="L57" i="25"/>
  <c r="N57" i="25"/>
  <c r="L58" i="25"/>
  <c r="N58" i="25"/>
  <c r="L59" i="25"/>
  <c r="N59" i="25"/>
  <c r="L60" i="25"/>
  <c r="N60" i="25"/>
  <c r="L61" i="25"/>
  <c r="N61" i="25"/>
  <c r="L62" i="25"/>
  <c r="N62" i="25"/>
  <c r="L63" i="25"/>
  <c r="N63" i="25"/>
  <c r="L64" i="25"/>
  <c r="N64" i="25"/>
  <c r="L65" i="25"/>
  <c r="N65" i="25"/>
  <c r="L66" i="25"/>
  <c r="N66" i="25"/>
  <c r="L67" i="25"/>
  <c r="N67" i="25"/>
  <c r="L68" i="25"/>
  <c r="N68" i="25"/>
  <c r="L69" i="25"/>
  <c r="N69" i="25"/>
  <c r="L70" i="25"/>
  <c r="N70" i="25"/>
  <c r="L71" i="25"/>
  <c r="N71" i="25"/>
  <c r="L72" i="25"/>
  <c r="N72" i="25"/>
  <c r="D89" i="25"/>
  <c r="D90" i="25"/>
  <c r="D91" i="25"/>
  <c r="J93" i="25"/>
  <c r="L93" i="25"/>
  <c r="D96" i="25"/>
  <c r="M110" i="25"/>
  <c r="M111" i="25"/>
  <c r="M112" i="25"/>
  <c r="M113" i="25"/>
  <c r="M114" i="25"/>
  <c r="M115" i="25"/>
  <c r="M116" i="25"/>
  <c r="M117" i="25"/>
  <c r="M118" i="25"/>
  <c r="M119" i="25"/>
  <c r="M120" i="25"/>
  <c r="M121" i="25"/>
  <c r="M122" i="25"/>
  <c r="M123" i="25"/>
  <c r="M124" i="25"/>
  <c r="M125" i="25"/>
  <c r="M126" i="25"/>
  <c r="M127" i="25"/>
  <c r="M128" i="25"/>
  <c r="M129" i="25"/>
  <c r="M130" i="25"/>
  <c r="M131" i="25"/>
  <c r="P131" i="25"/>
  <c r="M132" i="25"/>
  <c r="P132" i="25"/>
  <c r="M133" i="25"/>
  <c r="P133" i="25"/>
  <c r="M134" i="25"/>
  <c r="P134" i="25"/>
  <c r="M135" i="25"/>
  <c r="P135" i="25"/>
  <c r="M136" i="25"/>
  <c r="P136" i="25"/>
  <c r="M137" i="25"/>
  <c r="P137" i="25"/>
  <c r="M138" i="25"/>
  <c r="P138" i="25"/>
  <c r="M139" i="25"/>
  <c r="P139" i="25"/>
  <c r="M140" i="25"/>
  <c r="P140" i="25"/>
  <c r="M141" i="25"/>
  <c r="P141" i="25"/>
  <c r="M142" i="25"/>
  <c r="P142" i="25"/>
  <c r="M143" i="25"/>
  <c r="P143" i="25"/>
  <c r="M144" i="25"/>
  <c r="P144" i="25"/>
  <c r="M145" i="25"/>
  <c r="P145" i="25"/>
  <c r="M146" i="25"/>
  <c r="P146" i="25"/>
  <c r="M147" i="25"/>
  <c r="P147" i="25"/>
  <c r="M148" i="25"/>
  <c r="P148" i="25"/>
  <c r="M149" i="25"/>
  <c r="P149" i="25"/>
  <c r="M150" i="25"/>
  <c r="P150" i="25"/>
  <c r="M151" i="25"/>
  <c r="P151" i="25"/>
  <c r="M152" i="25"/>
  <c r="P152" i="25"/>
  <c r="M153" i="25"/>
  <c r="P153" i="25"/>
  <c r="M154" i="25"/>
  <c r="P154" i="25"/>
  <c r="N99" i="22"/>
  <c r="L99" i="22"/>
  <c r="M99" i="22" s="1"/>
  <c r="P99" i="22" s="1"/>
  <c r="N102" i="11"/>
  <c r="L102" i="11"/>
  <c r="M102" i="11" s="1"/>
  <c r="N103" i="10"/>
  <c r="L103" i="10"/>
  <c r="M103" i="10" s="1"/>
  <c r="P103" i="10" s="1"/>
  <c r="N102" i="9"/>
  <c r="L102" i="9"/>
  <c r="M102" i="9" s="1"/>
  <c r="N101" i="8"/>
  <c r="L101" i="8"/>
  <c r="M101" i="8" s="1"/>
  <c r="N103" i="7"/>
  <c r="L103" i="7"/>
  <c r="M103" i="7" s="1"/>
  <c r="N101" i="6"/>
  <c r="L101" i="6"/>
  <c r="M101" i="6" s="1"/>
  <c r="N100" i="5"/>
  <c r="L100" i="5"/>
  <c r="N100" i="4"/>
  <c r="L100" i="4"/>
  <c r="M100" i="4" s="1"/>
  <c r="P1" i="24"/>
  <c r="P83" i="24" s="1"/>
  <c r="I11" i="24"/>
  <c r="K11" i="24"/>
  <c r="L17" i="24"/>
  <c r="N25" i="24"/>
  <c r="N26" i="24"/>
  <c r="L27" i="24"/>
  <c r="N27" i="24"/>
  <c r="L28" i="24"/>
  <c r="N28" i="24"/>
  <c r="L29" i="24"/>
  <c r="N29" i="24"/>
  <c r="L30" i="24"/>
  <c r="N30" i="24"/>
  <c r="L31" i="24"/>
  <c r="N31" i="24"/>
  <c r="L32" i="24"/>
  <c r="N32" i="24"/>
  <c r="L33" i="24"/>
  <c r="N33" i="24"/>
  <c r="L34" i="24"/>
  <c r="N34" i="24"/>
  <c r="L35" i="24"/>
  <c r="N35" i="24"/>
  <c r="L36" i="24"/>
  <c r="N36" i="24"/>
  <c r="L37" i="24"/>
  <c r="N37" i="24"/>
  <c r="L38" i="24"/>
  <c r="N38" i="24"/>
  <c r="L39" i="24"/>
  <c r="N39" i="24"/>
  <c r="L40" i="24"/>
  <c r="N40" i="24"/>
  <c r="L41" i="24"/>
  <c r="N41" i="24"/>
  <c r="L42" i="24"/>
  <c r="N42" i="24"/>
  <c r="L43" i="24"/>
  <c r="N43" i="24"/>
  <c r="L44" i="24"/>
  <c r="N44" i="24"/>
  <c r="L45" i="24"/>
  <c r="N45" i="24"/>
  <c r="L46" i="24"/>
  <c r="N46" i="24"/>
  <c r="L47" i="24"/>
  <c r="N47" i="24"/>
  <c r="L48" i="24"/>
  <c r="N48" i="24"/>
  <c r="L49" i="24"/>
  <c r="N49" i="24"/>
  <c r="L50" i="24"/>
  <c r="N50" i="24"/>
  <c r="L51" i="24"/>
  <c r="N51" i="24"/>
  <c r="L52" i="24"/>
  <c r="N52" i="24"/>
  <c r="L53" i="24"/>
  <c r="N53" i="24"/>
  <c r="L54" i="24"/>
  <c r="N54" i="24"/>
  <c r="L55" i="24"/>
  <c r="N55" i="24"/>
  <c r="L56" i="24"/>
  <c r="N56" i="24"/>
  <c r="L57" i="24"/>
  <c r="N57" i="24"/>
  <c r="L58" i="24"/>
  <c r="N58" i="24"/>
  <c r="L59" i="24"/>
  <c r="N59" i="24"/>
  <c r="L60" i="24"/>
  <c r="N60" i="24"/>
  <c r="L61" i="24"/>
  <c r="N61" i="24"/>
  <c r="L62" i="24"/>
  <c r="N62" i="24"/>
  <c r="L63" i="24"/>
  <c r="N63" i="24"/>
  <c r="L64" i="24"/>
  <c r="N64" i="24"/>
  <c r="L65" i="24"/>
  <c r="N65" i="24"/>
  <c r="L66" i="24"/>
  <c r="N66" i="24"/>
  <c r="L67" i="24"/>
  <c r="N67" i="24"/>
  <c r="L68" i="24"/>
  <c r="N68" i="24"/>
  <c r="L69" i="24"/>
  <c r="N69" i="24"/>
  <c r="L70" i="24"/>
  <c r="N70" i="24"/>
  <c r="L71" i="24"/>
  <c r="N71" i="24"/>
  <c r="L72" i="24"/>
  <c r="N72" i="24"/>
  <c r="D89" i="24"/>
  <c r="D90" i="24"/>
  <c r="D91" i="24"/>
  <c r="J93" i="24"/>
  <c r="L93" i="24"/>
  <c r="D96" i="24"/>
  <c r="O106" i="24"/>
  <c r="O107" i="24"/>
  <c r="M108" i="24"/>
  <c r="O108" i="24"/>
  <c r="M109" i="24"/>
  <c r="O109" i="24"/>
  <c r="M110" i="24"/>
  <c r="O110" i="24"/>
  <c r="M111" i="24"/>
  <c r="O111" i="24"/>
  <c r="M112" i="24"/>
  <c r="O112" i="24"/>
  <c r="M113" i="24"/>
  <c r="O113" i="24"/>
  <c r="M114" i="24"/>
  <c r="O114" i="24"/>
  <c r="M115" i="24"/>
  <c r="O115" i="24"/>
  <c r="M116" i="24"/>
  <c r="O116" i="24"/>
  <c r="M117" i="24"/>
  <c r="O117" i="24"/>
  <c r="M118" i="24"/>
  <c r="O118" i="24"/>
  <c r="M119" i="24"/>
  <c r="O119" i="24"/>
  <c r="M120" i="24"/>
  <c r="O120" i="24"/>
  <c r="M121" i="24"/>
  <c r="O121" i="24"/>
  <c r="M122" i="24"/>
  <c r="O122" i="24"/>
  <c r="M123" i="24"/>
  <c r="O123" i="24"/>
  <c r="M124" i="24"/>
  <c r="O124" i="24"/>
  <c r="M125" i="24"/>
  <c r="O125" i="24"/>
  <c r="M126" i="24"/>
  <c r="O126" i="24"/>
  <c r="M127" i="24"/>
  <c r="O127" i="24"/>
  <c r="M128" i="24"/>
  <c r="O128" i="24"/>
  <c r="M129" i="24"/>
  <c r="O129" i="24"/>
  <c r="M130" i="24"/>
  <c r="O130" i="24"/>
  <c r="M131" i="24"/>
  <c r="O131" i="24"/>
  <c r="P131" i="24"/>
  <c r="M132" i="24"/>
  <c r="O132" i="24"/>
  <c r="P132" i="24"/>
  <c r="M133" i="24"/>
  <c r="O133" i="24"/>
  <c r="P133" i="24"/>
  <c r="M134" i="24"/>
  <c r="O134" i="24"/>
  <c r="P134" i="24"/>
  <c r="M135" i="24"/>
  <c r="O135" i="24"/>
  <c r="P135" i="24"/>
  <c r="M136" i="24"/>
  <c r="O136" i="24"/>
  <c r="P136" i="24"/>
  <c r="M137" i="24"/>
  <c r="O137" i="24"/>
  <c r="P137" i="24"/>
  <c r="M138" i="24"/>
  <c r="O138" i="24"/>
  <c r="P138" i="24"/>
  <c r="M139" i="24"/>
  <c r="O139" i="24"/>
  <c r="P139" i="24"/>
  <c r="M140" i="24"/>
  <c r="O140" i="24"/>
  <c r="P140" i="24"/>
  <c r="M141" i="24"/>
  <c r="O141" i="24"/>
  <c r="P141" i="24"/>
  <c r="M142" i="24"/>
  <c r="O142" i="24"/>
  <c r="P142" i="24"/>
  <c r="M143" i="24"/>
  <c r="O143" i="24"/>
  <c r="P143" i="24"/>
  <c r="M144" i="24"/>
  <c r="O144" i="24"/>
  <c r="P144" i="24"/>
  <c r="M145" i="24"/>
  <c r="O145" i="24"/>
  <c r="P145" i="24"/>
  <c r="M146" i="24"/>
  <c r="O146" i="24"/>
  <c r="P146" i="24"/>
  <c r="J147" i="24"/>
  <c r="M147" i="24"/>
  <c r="O147" i="24"/>
  <c r="P147" i="24"/>
  <c r="J148" i="24"/>
  <c r="M148" i="24"/>
  <c r="O148" i="24"/>
  <c r="P148" i="24"/>
  <c r="J149" i="24"/>
  <c r="M149" i="24"/>
  <c r="O149" i="24"/>
  <c r="P149" i="24"/>
  <c r="J150" i="24"/>
  <c r="M150" i="24"/>
  <c r="O150" i="24"/>
  <c r="P150" i="24"/>
  <c r="J151" i="24"/>
  <c r="M151" i="24"/>
  <c r="O151" i="24"/>
  <c r="P151" i="24"/>
  <c r="J152" i="24"/>
  <c r="M152" i="24"/>
  <c r="O152" i="24"/>
  <c r="P152" i="24"/>
  <c r="J153" i="24"/>
  <c r="M153" i="24"/>
  <c r="O153" i="24"/>
  <c r="P153" i="24"/>
  <c r="J154" i="24"/>
  <c r="M154" i="24"/>
  <c r="O154" i="24"/>
  <c r="P154" i="24"/>
  <c r="N100" i="3"/>
  <c r="L100" i="3"/>
  <c r="M18" i="3"/>
  <c r="N18" i="3" s="1"/>
  <c r="D10" i="3"/>
  <c r="D8" i="3" s="1"/>
  <c r="D90" i="3" s="1"/>
  <c r="K21" i="10"/>
  <c r="K18" i="3"/>
  <c r="K18" i="4"/>
  <c r="K18" i="5"/>
  <c r="L18" i="5" s="1"/>
  <c r="K19" i="6"/>
  <c r="L19" i="6" s="1"/>
  <c r="K21" i="7"/>
  <c r="K19" i="8"/>
  <c r="L19" i="8" s="1"/>
  <c r="K20" i="9"/>
  <c r="L20" i="9" s="1"/>
  <c r="K20" i="11"/>
  <c r="K17" i="22"/>
  <c r="L17" i="22" s="1"/>
  <c r="W28" i="17"/>
  <c r="B19" i="23"/>
  <c r="I17" i="23"/>
  <c r="P1" i="23"/>
  <c r="P83" i="23" s="1"/>
  <c r="I11" i="23"/>
  <c r="K11" i="23"/>
  <c r="L17" i="23"/>
  <c r="B18" i="23"/>
  <c r="N26" i="23"/>
  <c r="N27" i="23"/>
  <c r="L28" i="23"/>
  <c r="N28" i="23"/>
  <c r="L29" i="23"/>
  <c r="N29" i="23"/>
  <c r="L30" i="23"/>
  <c r="N30" i="23"/>
  <c r="L31" i="23"/>
  <c r="N31" i="23"/>
  <c r="L32" i="23"/>
  <c r="N32" i="23"/>
  <c r="L33" i="23"/>
  <c r="N33" i="23"/>
  <c r="L34" i="23"/>
  <c r="N34" i="23"/>
  <c r="L35" i="23"/>
  <c r="N35" i="23"/>
  <c r="L36" i="23"/>
  <c r="N36" i="23"/>
  <c r="L37" i="23"/>
  <c r="N37" i="23"/>
  <c r="L38" i="23"/>
  <c r="N38" i="23"/>
  <c r="L39" i="23"/>
  <c r="N39" i="23"/>
  <c r="L40" i="23"/>
  <c r="N40" i="23"/>
  <c r="L41" i="23"/>
  <c r="N41" i="23"/>
  <c r="L42" i="23"/>
  <c r="N42" i="23"/>
  <c r="L43" i="23"/>
  <c r="N43" i="23"/>
  <c r="L44" i="23"/>
  <c r="N44" i="23"/>
  <c r="L45" i="23"/>
  <c r="N45" i="23"/>
  <c r="L46" i="23"/>
  <c r="N46" i="23"/>
  <c r="L47" i="23"/>
  <c r="N47" i="23"/>
  <c r="L48" i="23"/>
  <c r="N48" i="23"/>
  <c r="L49" i="23"/>
  <c r="N49" i="23"/>
  <c r="L50" i="23"/>
  <c r="N50" i="23"/>
  <c r="L51" i="23"/>
  <c r="N51" i="23"/>
  <c r="L52" i="23"/>
  <c r="N52" i="23"/>
  <c r="L53" i="23"/>
  <c r="N53" i="23"/>
  <c r="L54" i="23"/>
  <c r="N54" i="23"/>
  <c r="L55" i="23"/>
  <c r="N55" i="23"/>
  <c r="L56" i="23"/>
  <c r="N56" i="23"/>
  <c r="L57" i="23"/>
  <c r="N57" i="23"/>
  <c r="L58" i="23"/>
  <c r="N58" i="23"/>
  <c r="L59" i="23"/>
  <c r="N59" i="23"/>
  <c r="L60" i="23"/>
  <c r="N60" i="23"/>
  <c r="L61" i="23"/>
  <c r="N61" i="23"/>
  <c r="L62" i="23"/>
  <c r="N62" i="23"/>
  <c r="L63" i="23"/>
  <c r="N63" i="23"/>
  <c r="L64" i="23"/>
  <c r="N64" i="23"/>
  <c r="L65" i="23"/>
  <c r="N65" i="23"/>
  <c r="L66" i="23"/>
  <c r="N66" i="23"/>
  <c r="L67" i="23"/>
  <c r="N67" i="23"/>
  <c r="L68" i="23"/>
  <c r="N68" i="23"/>
  <c r="L69" i="23"/>
  <c r="N69" i="23"/>
  <c r="L70" i="23"/>
  <c r="N70" i="23"/>
  <c r="L71" i="23"/>
  <c r="N71" i="23"/>
  <c r="L72" i="23"/>
  <c r="N72" i="23"/>
  <c r="D89" i="23"/>
  <c r="D91" i="23"/>
  <c r="J93" i="23"/>
  <c r="L93" i="23"/>
  <c r="D96" i="23"/>
  <c r="M99" i="23"/>
  <c r="O107" i="23"/>
  <c r="O108" i="23"/>
  <c r="M109" i="23"/>
  <c r="O109" i="23"/>
  <c r="M110" i="23"/>
  <c r="O110" i="23"/>
  <c r="M111" i="23"/>
  <c r="O111" i="23"/>
  <c r="M112" i="23"/>
  <c r="O112" i="23"/>
  <c r="M113" i="23"/>
  <c r="O113" i="23"/>
  <c r="M114" i="23"/>
  <c r="O114" i="23"/>
  <c r="M115" i="23"/>
  <c r="O115" i="23"/>
  <c r="M116" i="23"/>
  <c r="O116" i="23"/>
  <c r="M117" i="23"/>
  <c r="O117" i="23"/>
  <c r="M118" i="23"/>
  <c r="O118" i="23"/>
  <c r="M119" i="23"/>
  <c r="O119" i="23"/>
  <c r="M120" i="23"/>
  <c r="O120" i="23"/>
  <c r="M121" i="23"/>
  <c r="O121" i="23"/>
  <c r="M122" i="23"/>
  <c r="O122" i="23"/>
  <c r="M123" i="23"/>
  <c r="O123" i="23"/>
  <c r="M124" i="23"/>
  <c r="O124" i="23"/>
  <c r="M125" i="23"/>
  <c r="O125" i="23"/>
  <c r="M126" i="23"/>
  <c r="O126" i="23"/>
  <c r="M127" i="23"/>
  <c r="O127" i="23"/>
  <c r="M128" i="23"/>
  <c r="O128" i="23"/>
  <c r="M129" i="23"/>
  <c r="O129" i="23"/>
  <c r="M130" i="23"/>
  <c r="O130" i="23"/>
  <c r="J131" i="23"/>
  <c r="M131" i="23"/>
  <c r="O131" i="23"/>
  <c r="P131" i="23"/>
  <c r="J132" i="23"/>
  <c r="M132" i="23"/>
  <c r="O132" i="23"/>
  <c r="P132" i="23"/>
  <c r="J133" i="23"/>
  <c r="M133" i="23"/>
  <c r="O133" i="23"/>
  <c r="P133" i="23"/>
  <c r="J134" i="23"/>
  <c r="M134" i="23"/>
  <c r="O134" i="23"/>
  <c r="P134" i="23"/>
  <c r="J135" i="23"/>
  <c r="M135" i="23"/>
  <c r="O135" i="23"/>
  <c r="P135" i="23"/>
  <c r="J136" i="23"/>
  <c r="M136" i="23"/>
  <c r="O136" i="23"/>
  <c r="P136" i="23"/>
  <c r="J137" i="23"/>
  <c r="M137" i="23"/>
  <c r="O137" i="23"/>
  <c r="P137" i="23"/>
  <c r="J138" i="23"/>
  <c r="M138" i="23"/>
  <c r="O138" i="23"/>
  <c r="P138" i="23"/>
  <c r="J139" i="23"/>
  <c r="M139" i="23"/>
  <c r="O139" i="23"/>
  <c r="P139" i="23"/>
  <c r="J140" i="23"/>
  <c r="M140" i="23"/>
  <c r="O140" i="23"/>
  <c r="P140" i="23"/>
  <c r="J141" i="23"/>
  <c r="M141" i="23"/>
  <c r="O141" i="23"/>
  <c r="P141" i="23"/>
  <c r="J142" i="23"/>
  <c r="M142" i="23"/>
  <c r="O142" i="23"/>
  <c r="P142" i="23"/>
  <c r="J143" i="23"/>
  <c r="M143" i="23"/>
  <c r="O143" i="23"/>
  <c r="P143" i="23"/>
  <c r="J144" i="23"/>
  <c r="M144" i="23"/>
  <c r="O144" i="23"/>
  <c r="P144" i="23"/>
  <c r="J145" i="23"/>
  <c r="M145" i="23"/>
  <c r="O145" i="23"/>
  <c r="P145" i="23"/>
  <c r="J146" i="23"/>
  <c r="M146" i="23"/>
  <c r="O146" i="23"/>
  <c r="P146" i="23"/>
  <c r="J147" i="23"/>
  <c r="M147" i="23"/>
  <c r="O147" i="23"/>
  <c r="P147" i="23"/>
  <c r="J148" i="23"/>
  <c r="M148" i="23"/>
  <c r="O148" i="23"/>
  <c r="P148" i="23"/>
  <c r="J149" i="23"/>
  <c r="M149" i="23"/>
  <c r="O149" i="23"/>
  <c r="P149" i="23"/>
  <c r="J150" i="23"/>
  <c r="M150" i="23"/>
  <c r="O150" i="23"/>
  <c r="P150" i="23"/>
  <c r="J151" i="23"/>
  <c r="M151" i="23"/>
  <c r="O151" i="23"/>
  <c r="P151" i="23"/>
  <c r="J152" i="23"/>
  <c r="M152" i="23"/>
  <c r="O152" i="23"/>
  <c r="P152" i="23"/>
  <c r="J153" i="23"/>
  <c r="M153" i="23"/>
  <c r="O153" i="23"/>
  <c r="P153" i="23"/>
  <c r="J154" i="23"/>
  <c r="M154" i="23"/>
  <c r="O154" i="23"/>
  <c r="P154" i="23"/>
  <c r="M17" i="22"/>
  <c r="N17" i="22"/>
  <c r="N101" i="11"/>
  <c r="O101" i="11" s="1"/>
  <c r="L101" i="11"/>
  <c r="M101" i="11" s="1"/>
  <c r="M20" i="11"/>
  <c r="M21" i="10"/>
  <c r="N21" i="10"/>
  <c r="N102" i="10"/>
  <c r="O102" i="10" s="1"/>
  <c r="L102" i="10"/>
  <c r="M20" i="9"/>
  <c r="N20" i="9"/>
  <c r="N101" i="9"/>
  <c r="L101" i="9"/>
  <c r="N100" i="8"/>
  <c r="O100" i="8" s="1"/>
  <c r="L100" i="8"/>
  <c r="M100" i="8" s="1"/>
  <c r="M19" i="8"/>
  <c r="N102" i="7"/>
  <c r="L102" i="7"/>
  <c r="M102" i="7" s="1"/>
  <c r="M21" i="7"/>
  <c r="N100" i="6"/>
  <c r="O100" i="6" s="1"/>
  <c r="L100" i="6"/>
  <c r="M19" i="6"/>
  <c r="N99" i="5"/>
  <c r="L99" i="5"/>
  <c r="M99" i="5" s="1"/>
  <c r="M18" i="5"/>
  <c r="N99" i="4"/>
  <c r="L99" i="4"/>
  <c r="M18" i="4"/>
  <c r="N18" i="4" s="1"/>
  <c r="O18" i="4" s="1"/>
  <c r="N99" i="3"/>
  <c r="L99" i="3"/>
  <c r="D10" i="7"/>
  <c r="L18" i="7"/>
  <c r="B100" i="7"/>
  <c r="B102" i="8"/>
  <c r="B101" i="8"/>
  <c r="B100" i="8"/>
  <c r="B103" i="9"/>
  <c r="B102" i="9"/>
  <c r="B101" i="9"/>
  <c r="B100" i="9"/>
  <c r="B104" i="10"/>
  <c r="B103" i="10"/>
  <c r="B102" i="10"/>
  <c r="B101" i="10"/>
  <c r="B100" i="10"/>
  <c r="B103" i="11"/>
  <c r="B102" i="11"/>
  <c r="B101" i="11"/>
  <c r="B100" i="11"/>
  <c r="B100" i="22"/>
  <c r="B104" i="7"/>
  <c r="B103" i="7"/>
  <c r="B20" i="8"/>
  <c r="B19" i="8"/>
  <c r="B18" i="8"/>
  <c r="B22" i="9"/>
  <c r="B21" i="9"/>
  <c r="B20" i="9"/>
  <c r="B19" i="9"/>
  <c r="B18" i="9"/>
  <c r="B23" i="10"/>
  <c r="B22" i="10"/>
  <c r="B21" i="10"/>
  <c r="B20" i="10"/>
  <c r="B19" i="10"/>
  <c r="B18" i="10"/>
  <c r="B22" i="11"/>
  <c r="B21" i="11"/>
  <c r="B20" i="11"/>
  <c r="B19" i="11"/>
  <c r="B18" i="11"/>
  <c r="B18" i="22"/>
  <c r="I14" i="13"/>
  <c r="B22" i="7"/>
  <c r="B101" i="4"/>
  <c r="B100" i="4"/>
  <c r="B101" i="5"/>
  <c r="B100" i="5"/>
  <c r="B101" i="3"/>
  <c r="B100" i="3"/>
  <c r="B20" i="4"/>
  <c r="B19" i="4"/>
  <c r="B18" i="4"/>
  <c r="B20" i="5"/>
  <c r="B19" i="5"/>
  <c r="B18" i="5"/>
  <c r="B19" i="3"/>
  <c r="B18" i="3"/>
  <c r="B18" i="6"/>
  <c r="B20" i="6"/>
  <c r="B19" i="6"/>
  <c r="B102" i="6"/>
  <c r="B101" i="6"/>
  <c r="B100" i="6"/>
  <c r="I18" i="3"/>
  <c r="I19" i="3"/>
  <c r="D90" i="4"/>
  <c r="D90" i="5"/>
  <c r="D90" i="6"/>
  <c r="D90" i="7"/>
  <c r="D90" i="8"/>
  <c r="D8" i="9"/>
  <c r="D90" i="9" s="1"/>
  <c r="D90" i="10"/>
  <c r="D90" i="11"/>
  <c r="D90" i="22"/>
  <c r="D90" i="13"/>
  <c r="W27" i="17"/>
  <c r="N99" i="6"/>
  <c r="O99" i="6" s="1"/>
  <c r="P99" i="6" s="1"/>
  <c r="P1" i="22"/>
  <c r="P83" i="22" s="1"/>
  <c r="I11" i="22"/>
  <c r="K11" i="22"/>
  <c r="I17" i="22"/>
  <c r="I18" i="22"/>
  <c r="L19" i="22"/>
  <c r="N27" i="22"/>
  <c r="N28" i="22"/>
  <c r="L29" i="22"/>
  <c r="N29" i="22"/>
  <c r="L30" i="22"/>
  <c r="N30" i="22"/>
  <c r="L31" i="22"/>
  <c r="N31" i="22"/>
  <c r="L32" i="22"/>
  <c r="N32" i="22"/>
  <c r="L33" i="22"/>
  <c r="N33" i="22"/>
  <c r="L34" i="22"/>
  <c r="N34" i="22"/>
  <c r="L35" i="22"/>
  <c r="N35" i="22"/>
  <c r="L36" i="22"/>
  <c r="N36" i="22"/>
  <c r="L37" i="22"/>
  <c r="N37" i="22"/>
  <c r="O37" i="22" s="1"/>
  <c r="L38" i="22"/>
  <c r="N38" i="22"/>
  <c r="L39" i="22"/>
  <c r="N39" i="22"/>
  <c r="L40" i="22"/>
  <c r="N40" i="22"/>
  <c r="L41" i="22"/>
  <c r="N41" i="22"/>
  <c r="L42" i="22"/>
  <c r="N42" i="22"/>
  <c r="L43" i="22"/>
  <c r="N43" i="22"/>
  <c r="L44" i="22"/>
  <c r="N44" i="22"/>
  <c r="L45" i="22"/>
  <c r="N45" i="22"/>
  <c r="L46" i="22"/>
  <c r="N46" i="22"/>
  <c r="L47" i="22"/>
  <c r="N47" i="22"/>
  <c r="L48" i="22"/>
  <c r="N48" i="22"/>
  <c r="L49" i="22"/>
  <c r="N49" i="22"/>
  <c r="L50" i="22"/>
  <c r="N50" i="22"/>
  <c r="L51" i="22"/>
  <c r="N51" i="22"/>
  <c r="L52" i="22"/>
  <c r="N52" i="22"/>
  <c r="L53" i="22"/>
  <c r="N53" i="22"/>
  <c r="L54" i="22"/>
  <c r="N54" i="22"/>
  <c r="L55" i="22"/>
  <c r="N55" i="22"/>
  <c r="L56" i="22"/>
  <c r="N56" i="22"/>
  <c r="L57" i="22"/>
  <c r="N57" i="22"/>
  <c r="L58" i="22"/>
  <c r="N58" i="22"/>
  <c r="L59" i="22"/>
  <c r="N59" i="22"/>
  <c r="L60" i="22"/>
  <c r="N60" i="22"/>
  <c r="L61" i="22"/>
  <c r="N61" i="22"/>
  <c r="L62" i="22"/>
  <c r="N62" i="22"/>
  <c r="L63" i="22"/>
  <c r="N63" i="22"/>
  <c r="L64" i="22"/>
  <c r="N64" i="22"/>
  <c r="L65" i="22"/>
  <c r="N65" i="22"/>
  <c r="L66" i="22"/>
  <c r="N66" i="22"/>
  <c r="L67" i="22"/>
  <c r="N67" i="22"/>
  <c r="L68" i="22"/>
  <c r="N68" i="22"/>
  <c r="L69" i="22"/>
  <c r="N69" i="22"/>
  <c r="L70" i="22"/>
  <c r="N70" i="22"/>
  <c r="L71" i="22"/>
  <c r="N71" i="22"/>
  <c r="L72" i="22"/>
  <c r="N72" i="22"/>
  <c r="D89" i="22"/>
  <c r="D91" i="22"/>
  <c r="J93" i="22"/>
  <c r="L93" i="22"/>
  <c r="D96" i="22"/>
  <c r="J99" i="22"/>
  <c r="O99" i="22"/>
  <c r="M100" i="22"/>
  <c r="O100" i="22"/>
  <c r="O108" i="22"/>
  <c r="O109" i="22"/>
  <c r="M110" i="22"/>
  <c r="O110" i="22"/>
  <c r="M111" i="22"/>
  <c r="O111" i="22"/>
  <c r="M112" i="22"/>
  <c r="O112" i="22"/>
  <c r="M113" i="22"/>
  <c r="O113" i="22"/>
  <c r="M114" i="22"/>
  <c r="O114" i="22"/>
  <c r="M115" i="22"/>
  <c r="O115" i="22"/>
  <c r="M116" i="22"/>
  <c r="O116" i="22"/>
  <c r="M117" i="22"/>
  <c r="O117" i="22"/>
  <c r="M118" i="22"/>
  <c r="O118" i="22"/>
  <c r="M119" i="22"/>
  <c r="O119" i="22"/>
  <c r="M120" i="22"/>
  <c r="O120" i="22"/>
  <c r="M121" i="22"/>
  <c r="O121" i="22"/>
  <c r="M122" i="22"/>
  <c r="O122" i="22"/>
  <c r="M123" i="22"/>
  <c r="O123" i="22"/>
  <c r="M124" i="22"/>
  <c r="O124" i="22"/>
  <c r="M125" i="22"/>
  <c r="O125" i="22"/>
  <c r="M126" i="22"/>
  <c r="O126" i="22"/>
  <c r="M127" i="22"/>
  <c r="O127" i="22"/>
  <c r="M128" i="22"/>
  <c r="O128" i="22"/>
  <c r="M129" i="22"/>
  <c r="O129" i="22"/>
  <c r="M130" i="22"/>
  <c r="O130" i="22"/>
  <c r="J131" i="22"/>
  <c r="M131" i="22"/>
  <c r="O131" i="22"/>
  <c r="P131" i="22"/>
  <c r="J132" i="22"/>
  <c r="M132" i="22"/>
  <c r="O132" i="22"/>
  <c r="P132" i="22"/>
  <c r="J133" i="22"/>
  <c r="M133" i="22"/>
  <c r="O133" i="22"/>
  <c r="P133" i="22"/>
  <c r="J134" i="22"/>
  <c r="M134" i="22"/>
  <c r="O134" i="22"/>
  <c r="P134" i="22"/>
  <c r="J135" i="22"/>
  <c r="M135" i="22"/>
  <c r="O135" i="22"/>
  <c r="P135" i="22"/>
  <c r="J136" i="22"/>
  <c r="M136" i="22"/>
  <c r="O136" i="22"/>
  <c r="P136" i="22"/>
  <c r="J137" i="22"/>
  <c r="M137" i="22"/>
  <c r="O137" i="22"/>
  <c r="P137" i="22"/>
  <c r="J138" i="22"/>
  <c r="M138" i="22"/>
  <c r="O138" i="22"/>
  <c r="P138" i="22"/>
  <c r="J139" i="22"/>
  <c r="M139" i="22"/>
  <c r="O139" i="22"/>
  <c r="P139" i="22"/>
  <c r="J140" i="22"/>
  <c r="M140" i="22"/>
  <c r="O140" i="22"/>
  <c r="P140" i="22"/>
  <c r="J141" i="22"/>
  <c r="M141" i="22"/>
  <c r="O141" i="22"/>
  <c r="P141" i="22"/>
  <c r="J142" i="22"/>
  <c r="M142" i="22"/>
  <c r="O142" i="22"/>
  <c r="P142" i="22"/>
  <c r="J143" i="22"/>
  <c r="M143" i="22"/>
  <c r="O143" i="22"/>
  <c r="P143" i="22"/>
  <c r="J144" i="22"/>
  <c r="M144" i="22"/>
  <c r="O144" i="22"/>
  <c r="P144" i="22"/>
  <c r="J145" i="22"/>
  <c r="M145" i="22"/>
  <c r="O145" i="22"/>
  <c r="P145" i="22"/>
  <c r="J146" i="22"/>
  <c r="M146" i="22"/>
  <c r="O146" i="22"/>
  <c r="P146" i="22"/>
  <c r="J147" i="22"/>
  <c r="M147" i="22"/>
  <c r="O147" i="22"/>
  <c r="P147" i="22"/>
  <c r="J148" i="22"/>
  <c r="M148" i="22"/>
  <c r="O148" i="22"/>
  <c r="P148" i="22"/>
  <c r="J149" i="22"/>
  <c r="M149" i="22"/>
  <c r="O149" i="22"/>
  <c r="P149" i="22"/>
  <c r="J150" i="22"/>
  <c r="M150" i="22"/>
  <c r="O150" i="22"/>
  <c r="P150" i="22"/>
  <c r="J151" i="22"/>
  <c r="M151" i="22"/>
  <c r="O151" i="22"/>
  <c r="P151" i="22"/>
  <c r="J152" i="22"/>
  <c r="M152" i="22"/>
  <c r="O152" i="22"/>
  <c r="P152" i="22"/>
  <c r="J153" i="22"/>
  <c r="M153" i="22"/>
  <c r="O153" i="22"/>
  <c r="P153" i="22"/>
  <c r="J154" i="22"/>
  <c r="M154" i="22"/>
  <c r="O154" i="22"/>
  <c r="P154" i="22"/>
  <c r="P1" i="8"/>
  <c r="P83" i="8" s="1"/>
  <c r="P1" i="11"/>
  <c r="P83" i="11" s="1"/>
  <c r="G99" i="6"/>
  <c r="P12" i="17"/>
  <c r="L12" i="17"/>
  <c r="R12" i="17" s="1"/>
  <c r="W26" i="17"/>
  <c r="W25" i="17"/>
  <c r="W24" i="17"/>
  <c r="W23" i="17"/>
  <c r="W22" i="17"/>
  <c r="W21" i="17"/>
  <c r="W20" i="17"/>
  <c r="W19" i="17"/>
  <c r="W18" i="17"/>
  <c r="G12" i="17"/>
  <c r="H3" i="3"/>
  <c r="H3" i="4"/>
  <c r="H3" i="5"/>
  <c r="H3" i="6"/>
  <c r="M101" i="7"/>
  <c r="C12" i="2"/>
  <c r="P1" i="13"/>
  <c r="P83" i="13" s="1"/>
  <c r="P1" i="4"/>
  <c r="P83" i="4" s="1"/>
  <c r="P1" i="5"/>
  <c r="P83" i="5" s="1"/>
  <c r="P1" i="6"/>
  <c r="P83" i="6" s="1"/>
  <c r="P1" i="7"/>
  <c r="P83" i="7" s="1"/>
  <c r="P1" i="9"/>
  <c r="P83" i="9" s="1"/>
  <c r="P1" i="10"/>
  <c r="P83" i="10" s="1"/>
  <c r="P1" i="3"/>
  <c r="P83" i="3" s="1"/>
  <c r="O3" i="3"/>
  <c r="A5" i="2"/>
  <c r="A1" i="2"/>
  <c r="F13" i="2"/>
  <c r="C79" i="2" s="1"/>
  <c r="C89" i="2"/>
  <c r="I11" i="13"/>
  <c r="K11" i="13"/>
  <c r="L17" i="13"/>
  <c r="N17" i="13"/>
  <c r="L18" i="13"/>
  <c r="N18" i="13"/>
  <c r="L19" i="13"/>
  <c r="N19" i="13"/>
  <c r="L20" i="13"/>
  <c r="N20" i="13"/>
  <c r="L21" i="13"/>
  <c r="N21" i="13"/>
  <c r="L22" i="13"/>
  <c r="N22" i="13"/>
  <c r="L23" i="13"/>
  <c r="N23" i="13"/>
  <c r="L24" i="13"/>
  <c r="N24" i="13"/>
  <c r="L25" i="13"/>
  <c r="N25" i="13"/>
  <c r="L26" i="13"/>
  <c r="N26" i="13"/>
  <c r="L27" i="13"/>
  <c r="N27" i="13"/>
  <c r="L28" i="13"/>
  <c r="N28" i="13"/>
  <c r="L29" i="13"/>
  <c r="N29" i="13"/>
  <c r="L30" i="13"/>
  <c r="N30" i="13"/>
  <c r="L31" i="13"/>
  <c r="N31" i="13"/>
  <c r="L32" i="13"/>
  <c r="N32" i="13"/>
  <c r="L33" i="13"/>
  <c r="N33" i="13"/>
  <c r="L34" i="13"/>
  <c r="N34" i="13"/>
  <c r="L35" i="13"/>
  <c r="N35" i="13"/>
  <c r="L36" i="13"/>
  <c r="N36" i="13"/>
  <c r="L37" i="13"/>
  <c r="N37" i="13"/>
  <c r="L38" i="13"/>
  <c r="N38" i="13"/>
  <c r="L39" i="13"/>
  <c r="N39" i="13"/>
  <c r="L40" i="13"/>
  <c r="N40" i="13"/>
  <c r="L41" i="13"/>
  <c r="N41" i="13"/>
  <c r="L42" i="13"/>
  <c r="N42" i="13"/>
  <c r="L43" i="13"/>
  <c r="N43" i="13"/>
  <c r="L44" i="13"/>
  <c r="N44" i="13"/>
  <c r="L45" i="13"/>
  <c r="N45" i="13"/>
  <c r="L46" i="13"/>
  <c r="N46" i="13"/>
  <c r="L47" i="13"/>
  <c r="N47" i="13"/>
  <c r="L48" i="13"/>
  <c r="N48" i="13"/>
  <c r="L49" i="13"/>
  <c r="N49" i="13"/>
  <c r="L50" i="13"/>
  <c r="N50" i="13"/>
  <c r="L51" i="13"/>
  <c r="N51" i="13"/>
  <c r="L52" i="13"/>
  <c r="N52" i="13"/>
  <c r="L53" i="13"/>
  <c r="N53" i="13"/>
  <c r="L54" i="13"/>
  <c r="N54" i="13"/>
  <c r="L55" i="13"/>
  <c r="N55" i="13"/>
  <c r="L56" i="13"/>
  <c r="N56" i="13"/>
  <c r="L57" i="13"/>
  <c r="N57" i="13"/>
  <c r="L58" i="13"/>
  <c r="N58" i="13"/>
  <c r="L59" i="13"/>
  <c r="N59" i="13"/>
  <c r="L60" i="13"/>
  <c r="N60" i="13"/>
  <c r="L61" i="13"/>
  <c r="N61" i="13"/>
  <c r="L62" i="13"/>
  <c r="N62" i="13"/>
  <c r="L63" i="13"/>
  <c r="N63" i="13"/>
  <c r="L64" i="13"/>
  <c r="N64" i="13"/>
  <c r="L65" i="13"/>
  <c r="N65" i="13"/>
  <c r="L66" i="13"/>
  <c r="N66" i="13"/>
  <c r="L67" i="13"/>
  <c r="N67" i="13"/>
  <c r="L68" i="13"/>
  <c r="N68" i="13"/>
  <c r="L69" i="13"/>
  <c r="N69" i="13"/>
  <c r="L70" i="13"/>
  <c r="N70" i="13"/>
  <c r="L71" i="13"/>
  <c r="N71" i="13"/>
  <c r="L72" i="13"/>
  <c r="N72" i="13"/>
  <c r="D89" i="13"/>
  <c r="D91" i="13"/>
  <c r="J93" i="13"/>
  <c r="L93" i="13"/>
  <c r="D96" i="13"/>
  <c r="M99" i="13"/>
  <c r="O99" i="13"/>
  <c r="M100" i="13"/>
  <c r="O100" i="13"/>
  <c r="M101" i="13"/>
  <c r="O101" i="13"/>
  <c r="M102" i="13"/>
  <c r="O102" i="13"/>
  <c r="M103" i="13"/>
  <c r="O103" i="13"/>
  <c r="M104" i="13"/>
  <c r="O104" i="13"/>
  <c r="M105" i="13"/>
  <c r="O105" i="13"/>
  <c r="M106" i="13"/>
  <c r="O106" i="13"/>
  <c r="M107" i="13"/>
  <c r="O107" i="13"/>
  <c r="M108" i="13"/>
  <c r="O108" i="13"/>
  <c r="M109" i="13"/>
  <c r="O109" i="13"/>
  <c r="M110" i="13"/>
  <c r="O110" i="13"/>
  <c r="M111" i="13"/>
  <c r="O111" i="13"/>
  <c r="M112" i="13"/>
  <c r="O112" i="13"/>
  <c r="M113" i="13"/>
  <c r="O113" i="13"/>
  <c r="M114" i="13"/>
  <c r="O114" i="13"/>
  <c r="M115" i="13"/>
  <c r="O115" i="13"/>
  <c r="M116" i="13"/>
  <c r="O116" i="13"/>
  <c r="M117" i="13"/>
  <c r="O117" i="13"/>
  <c r="M118" i="13"/>
  <c r="O118" i="13"/>
  <c r="M119" i="13"/>
  <c r="O119" i="13"/>
  <c r="M120" i="13"/>
  <c r="O120" i="13"/>
  <c r="M121" i="13"/>
  <c r="O121" i="13"/>
  <c r="M122" i="13"/>
  <c r="O122" i="13"/>
  <c r="M123" i="13"/>
  <c r="O123" i="13"/>
  <c r="M124" i="13"/>
  <c r="O124" i="13"/>
  <c r="M125" i="13"/>
  <c r="O125" i="13"/>
  <c r="M126" i="13"/>
  <c r="O126" i="13"/>
  <c r="M127" i="13"/>
  <c r="O127" i="13"/>
  <c r="M128" i="13"/>
  <c r="O128" i="13"/>
  <c r="M129" i="13"/>
  <c r="O129" i="13"/>
  <c r="M130" i="13"/>
  <c r="O130" i="13"/>
  <c r="J131" i="13"/>
  <c r="M131" i="13"/>
  <c r="O131" i="13"/>
  <c r="P131" i="13"/>
  <c r="J132" i="13"/>
  <c r="M132" i="13"/>
  <c r="O132" i="13"/>
  <c r="P132" i="13"/>
  <c r="J133" i="13"/>
  <c r="M133" i="13"/>
  <c r="O133" i="13"/>
  <c r="P133" i="13"/>
  <c r="J134" i="13"/>
  <c r="M134" i="13"/>
  <c r="O134" i="13"/>
  <c r="P134" i="13"/>
  <c r="J135" i="13"/>
  <c r="M135" i="13"/>
  <c r="O135" i="13"/>
  <c r="P135" i="13"/>
  <c r="J136" i="13"/>
  <c r="M136" i="13"/>
  <c r="O136" i="13"/>
  <c r="P136" i="13"/>
  <c r="J137" i="13"/>
  <c r="M137" i="13"/>
  <c r="O137" i="13"/>
  <c r="P137" i="13"/>
  <c r="J138" i="13"/>
  <c r="M138" i="13"/>
  <c r="O138" i="13"/>
  <c r="P138" i="13"/>
  <c r="J139" i="13"/>
  <c r="M139" i="13"/>
  <c r="O139" i="13"/>
  <c r="P139" i="13"/>
  <c r="J140" i="13"/>
  <c r="M140" i="13"/>
  <c r="O140" i="13"/>
  <c r="P140" i="13"/>
  <c r="J141" i="13"/>
  <c r="M141" i="13"/>
  <c r="O141" i="13"/>
  <c r="P141" i="13"/>
  <c r="J142" i="13"/>
  <c r="M142" i="13"/>
  <c r="O142" i="13"/>
  <c r="P142" i="13"/>
  <c r="J143" i="13"/>
  <c r="M143" i="13"/>
  <c r="O143" i="13"/>
  <c r="P143" i="13"/>
  <c r="J144" i="13"/>
  <c r="M144" i="13"/>
  <c r="O144" i="13"/>
  <c r="P144" i="13"/>
  <c r="J145" i="13"/>
  <c r="M145" i="13"/>
  <c r="O145" i="13"/>
  <c r="P145" i="13"/>
  <c r="J146" i="13"/>
  <c r="M146" i="13"/>
  <c r="O146" i="13"/>
  <c r="P146" i="13"/>
  <c r="J147" i="13"/>
  <c r="M147" i="13"/>
  <c r="O147" i="13"/>
  <c r="P147" i="13"/>
  <c r="J148" i="13"/>
  <c r="M148" i="13"/>
  <c r="O148" i="13"/>
  <c r="P148" i="13"/>
  <c r="J149" i="13"/>
  <c r="M149" i="13"/>
  <c r="O149" i="13"/>
  <c r="P149" i="13"/>
  <c r="J150" i="13"/>
  <c r="M150" i="13"/>
  <c r="O150" i="13"/>
  <c r="P150" i="13"/>
  <c r="J151" i="13"/>
  <c r="M151" i="13"/>
  <c r="O151" i="13"/>
  <c r="P151" i="13"/>
  <c r="J152" i="13"/>
  <c r="M152" i="13"/>
  <c r="O152" i="13"/>
  <c r="P152" i="13"/>
  <c r="J153" i="13"/>
  <c r="M153" i="13"/>
  <c r="O153" i="13"/>
  <c r="P153" i="13"/>
  <c r="J154" i="13"/>
  <c r="M154" i="13"/>
  <c r="O154" i="13"/>
  <c r="P154" i="13"/>
  <c r="I11" i="11"/>
  <c r="K11" i="11"/>
  <c r="I17" i="11"/>
  <c r="L17" i="11"/>
  <c r="N17" i="11"/>
  <c r="I18" i="11"/>
  <c r="L18" i="11"/>
  <c r="N18" i="11"/>
  <c r="I19" i="11"/>
  <c r="L19" i="11"/>
  <c r="N19" i="11"/>
  <c r="I20" i="11"/>
  <c r="L20" i="11"/>
  <c r="N20" i="11"/>
  <c r="I21" i="11"/>
  <c r="L22" i="11"/>
  <c r="N30" i="11"/>
  <c r="N31" i="11"/>
  <c r="L32" i="11"/>
  <c r="N32" i="11"/>
  <c r="L33" i="11"/>
  <c r="N33" i="11"/>
  <c r="L34" i="11"/>
  <c r="N34" i="11"/>
  <c r="L35" i="11"/>
  <c r="N35" i="11"/>
  <c r="L36" i="11"/>
  <c r="N36" i="11"/>
  <c r="L37" i="11"/>
  <c r="N37" i="11"/>
  <c r="L38" i="11"/>
  <c r="N38" i="11"/>
  <c r="L39" i="11"/>
  <c r="N39" i="11"/>
  <c r="L40" i="11"/>
  <c r="N40" i="11"/>
  <c r="L41" i="11"/>
  <c r="N41" i="11"/>
  <c r="L42" i="11"/>
  <c r="N42" i="11"/>
  <c r="L43" i="11"/>
  <c r="N43" i="11"/>
  <c r="L44" i="11"/>
  <c r="N44" i="11"/>
  <c r="L45" i="11"/>
  <c r="N45" i="11"/>
  <c r="L46" i="11"/>
  <c r="N46" i="11"/>
  <c r="L47" i="11"/>
  <c r="N47" i="11"/>
  <c r="L48" i="11"/>
  <c r="N48" i="11"/>
  <c r="L49" i="11"/>
  <c r="N49" i="11"/>
  <c r="L50" i="11"/>
  <c r="N50" i="11"/>
  <c r="L51" i="11"/>
  <c r="N51" i="11"/>
  <c r="L52" i="11"/>
  <c r="N52" i="11"/>
  <c r="L53" i="11"/>
  <c r="N53" i="11"/>
  <c r="L54" i="11"/>
  <c r="N54" i="11"/>
  <c r="L55" i="11"/>
  <c r="N55" i="11"/>
  <c r="L56" i="11"/>
  <c r="N56" i="11"/>
  <c r="L57" i="11"/>
  <c r="N57" i="11"/>
  <c r="L58" i="11"/>
  <c r="N58" i="11"/>
  <c r="L59" i="11"/>
  <c r="N59" i="11"/>
  <c r="L60" i="11"/>
  <c r="N60" i="11"/>
  <c r="L61" i="11"/>
  <c r="N61" i="11"/>
  <c r="L62" i="11"/>
  <c r="N62" i="11"/>
  <c r="L63" i="11"/>
  <c r="N63" i="11"/>
  <c r="L64" i="11"/>
  <c r="N64" i="11"/>
  <c r="L65" i="11"/>
  <c r="N65" i="11"/>
  <c r="L66" i="11"/>
  <c r="N66" i="11"/>
  <c r="L67" i="11"/>
  <c r="N67" i="11"/>
  <c r="L68" i="11"/>
  <c r="N68" i="11"/>
  <c r="L69" i="11"/>
  <c r="N69" i="11"/>
  <c r="L70" i="11"/>
  <c r="N70" i="11"/>
  <c r="L71" i="11"/>
  <c r="N71" i="11"/>
  <c r="L72" i="11"/>
  <c r="N72" i="11"/>
  <c r="D89" i="11"/>
  <c r="D91" i="11"/>
  <c r="J93" i="11"/>
  <c r="L93" i="11"/>
  <c r="D96" i="11"/>
  <c r="J99" i="11"/>
  <c r="M99" i="11"/>
  <c r="O99" i="11"/>
  <c r="J100" i="11"/>
  <c r="M100" i="11"/>
  <c r="O100" i="11"/>
  <c r="J101" i="11"/>
  <c r="J102" i="11"/>
  <c r="O102" i="11"/>
  <c r="P102" i="11" s="1"/>
  <c r="O103" i="11"/>
  <c r="O111" i="11"/>
  <c r="O112" i="11"/>
  <c r="M113" i="11"/>
  <c r="O113" i="11"/>
  <c r="M114" i="11"/>
  <c r="O114" i="11"/>
  <c r="M115" i="11"/>
  <c r="O115" i="11"/>
  <c r="M116" i="11"/>
  <c r="O116" i="11"/>
  <c r="M117" i="11"/>
  <c r="O117" i="11"/>
  <c r="M118" i="11"/>
  <c r="O118" i="11"/>
  <c r="M119" i="11"/>
  <c r="O119" i="11"/>
  <c r="M120" i="11"/>
  <c r="O120" i="11"/>
  <c r="M121" i="11"/>
  <c r="O121" i="11"/>
  <c r="M122" i="11"/>
  <c r="O122" i="11"/>
  <c r="M123" i="11"/>
  <c r="O123" i="11"/>
  <c r="M124" i="11"/>
  <c r="O124" i="11"/>
  <c r="M125" i="11"/>
  <c r="O125" i="11"/>
  <c r="M126" i="11"/>
  <c r="O126" i="11"/>
  <c r="M127" i="11"/>
  <c r="O127" i="11"/>
  <c r="M128" i="11"/>
  <c r="O128" i="11"/>
  <c r="M129" i="11"/>
  <c r="O129" i="11"/>
  <c r="M130" i="11"/>
  <c r="O130" i="11"/>
  <c r="J131" i="11"/>
  <c r="M131" i="11"/>
  <c r="O131" i="11"/>
  <c r="P131" i="11"/>
  <c r="J132" i="11"/>
  <c r="M132" i="11"/>
  <c r="O132" i="11"/>
  <c r="P132" i="11"/>
  <c r="J133" i="11"/>
  <c r="M133" i="11"/>
  <c r="O133" i="11"/>
  <c r="P133" i="11"/>
  <c r="J134" i="11"/>
  <c r="M134" i="11"/>
  <c r="O134" i="11"/>
  <c r="P134" i="11"/>
  <c r="J135" i="11"/>
  <c r="M135" i="11"/>
  <c r="O135" i="11"/>
  <c r="P135" i="11"/>
  <c r="J136" i="11"/>
  <c r="M136" i="11"/>
  <c r="O136" i="11"/>
  <c r="P136" i="11"/>
  <c r="J137" i="11"/>
  <c r="M137" i="11"/>
  <c r="O137" i="11"/>
  <c r="P137" i="11"/>
  <c r="J138" i="11"/>
  <c r="M138" i="11"/>
  <c r="O138" i="11"/>
  <c r="P138" i="11"/>
  <c r="J139" i="11"/>
  <c r="M139" i="11"/>
  <c r="O139" i="11"/>
  <c r="P139" i="11"/>
  <c r="J140" i="11"/>
  <c r="M140" i="11"/>
  <c r="O140" i="11"/>
  <c r="P140" i="11"/>
  <c r="J141" i="11"/>
  <c r="M141" i="11"/>
  <c r="O141" i="11"/>
  <c r="P141" i="11"/>
  <c r="J142" i="11"/>
  <c r="M142" i="11"/>
  <c r="O142" i="11"/>
  <c r="P142" i="11"/>
  <c r="J143" i="11"/>
  <c r="M143" i="11"/>
  <c r="O143" i="11"/>
  <c r="P143" i="11"/>
  <c r="J144" i="11"/>
  <c r="M144" i="11"/>
  <c r="O144" i="11"/>
  <c r="P144" i="11"/>
  <c r="J145" i="11"/>
  <c r="M145" i="11"/>
  <c r="O145" i="11"/>
  <c r="P145" i="11"/>
  <c r="J146" i="11"/>
  <c r="M146" i="11"/>
  <c r="O146" i="11"/>
  <c r="P146" i="11"/>
  <c r="J147" i="11"/>
  <c r="M147" i="11"/>
  <c r="O147" i="11"/>
  <c r="P147" i="11"/>
  <c r="J148" i="11"/>
  <c r="M148" i="11"/>
  <c r="O148" i="11"/>
  <c r="P148" i="11"/>
  <c r="J149" i="11"/>
  <c r="M149" i="11"/>
  <c r="O149" i="11"/>
  <c r="P149" i="11"/>
  <c r="J150" i="11"/>
  <c r="M150" i="11"/>
  <c r="O150" i="11"/>
  <c r="P150" i="11"/>
  <c r="J151" i="11"/>
  <c r="M151" i="11"/>
  <c r="O151" i="11"/>
  <c r="P151" i="11"/>
  <c r="J152" i="11"/>
  <c r="M152" i="11"/>
  <c r="O152" i="11"/>
  <c r="P152" i="11"/>
  <c r="J153" i="11"/>
  <c r="M153" i="11"/>
  <c r="O153" i="11"/>
  <c r="P153" i="11"/>
  <c r="J154" i="11"/>
  <c r="M154" i="11"/>
  <c r="O154" i="11"/>
  <c r="P154" i="11"/>
  <c r="I11" i="10"/>
  <c r="K11" i="10"/>
  <c r="I17" i="10"/>
  <c r="L17" i="10"/>
  <c r="N17" i="10"/>
  <c r="I18" i="10"/>
  <c r="L18" i="10"/>
  <c r="N18" i="10"/>
  <c r="I19" i="10"/>
  <c r="L19" i="10"/>
  <c r="N19" i="10"/>
  <c r="I20" i="10"/>
  <c r="L20" i="10"/>
  <c r="O20" i="10" s="1"/>
  <c r="N20" i="10"/>
  <c r="I21" i="10"/>
  <c r="L21" i="10"/>
  <c r="I22" i="10"/>
  <c r="N22" i="10"/>
  <c r="L23" i="10"/>
  <c r="N31" i="10"/>
  <c r="N32" i="10"/>
  <c r="L33" i="10"/>
  <c r="N33" i="10"/>
  <c r="L34" i="10"/>
  <c r="N34" i="10"/>
  <c r="L35" i="10"/>
  <c r="N35" i="10"/>
  <c r="L36" i="10"/>
  <c r="N36" i="10"/>
  <c r="L37" i="10"/>
  <c r="N37" i="10"/>
  <c r="L38" i="10"/>
  <c r="N38" i="10"/>
  <c r="L39" i="10"/>
  <c r="N39" i="10"/>
  <c r="L40" i="10"/>
  <c r="N40" i="10"/>
  <c r="L41" i="10"/>
  <c r="N41" i="10"/>
  <c r="L42" i="10"/>
  <c r="N42" i="10"/>
  <c r="L43" i="10"/>
  <c r="N43" i="10"/>
  <c r="L44" i="10"/>
  <c r="N44" i="10"/>
  <c r="L45" i="10"/>
  <c r="N45" i="10"/>
  <c r="L46" i="10"/>
  <c r="N46" i="10"/>
  <c r="L47" i="10"/>
  <c r="N47" i="10"/>
  <c r="L48" i="10"/>
  <c r="N48" i="10"/>
  <c r="L49" i="10"/>
  <c r="N49" i="10"/>
  <c r="L50" i="10"/>
  <c r="N50" i="10"/>
  <c r="L51" i="10"/>
  <c r="N51" i="10"/>
  <c r="L52" i="10"/>
  <c r="N52" i="10"/>
  <c r="L53" i="10"/>
  <c r="N53" i="10"/>
  <c r="L54" i="10"/>
  <c r="N54" i="10"/>
  <c r="L55" i="10"/>
  <c r="N55" i="10"/>
  <c r="L56" i="10"/>
  <c r="N56" i="10"/>
  <c r="L57" i="10"/>
  <c r="N57" i="10"/>
  <c r="L58" i="10"/>
  <c r="N58" i="10"/>
  <c r="L59" i="10"/>
  <c r="N59" i="10"/>
  <c r="L60" i="10"/>
  <c r="N60" i="10"/>
  <c r="L61" i="10"/>
  <c r="N61" i="10"/>
  <c r="L62" i="10"/>
  <c r="N62" i="10"/>
  <c r="L63" i="10"/>
  <c r="N63" i="10"/>
  <c r="L64" i="10"/>
  <c r="N64" i="10"/>
  <c r="L65" i="10"/>
  <c r="N65" i="10"/>
  <c r="L66" i="10"/>
  <c r="N66" i="10"/>
  <c r="L67" i="10"/>
  <c r="N67" i="10"/>
  <c r="L68" i="10"/>
  <c r="N68" i="10"/>
  <c r="L69" i="10"/>
  <c r="N69" i="10"/>
  <c r="L70" i="10"/>
  <c r="N70" i="10"/>
  <c r="L71" i="10"/>
  <c r="N71" i="10"/>
  <c r="L72" i="10"/>
  <c r="N72" i="10"/>
  <c r="D89" i="10"/>
  <c r="D91" i="10"/>
  <c r="J93" i="10"/>
  <c r="L93" i="10"/>
  <c r="D96" i="10"/>
  <c r="J99" i="10"/>
  <c r="M99" i="10"/>
  <c r="O99" i="10"/>
  <c r="J100" i="10"/>
  <c r="M100" i="10"/>
  <c r="O100" i="10"/>
  <c r="J101" i="10"/>
  <c r="M101" i="10"/>
  <c r="O101" i="10"/>
  <c r="J102" i="10"/>
  <c r="M102" i="10"/>
  <c r="J103" i="10"/>
  <c r="O103" i="10"/>
  <c r="M104" i="10"/>
  <c r="O104" i="10"/>
  <c r="O112" i="10"/>
  <c r="O113" i="10"/>
  <c r="M114" i="10"/>
  <c r="O114" i="10"/>
  <c r="M115" i="10"/>
  <c r="O115" i="10"/>
  <c r="M116" i="10"/>
  <c r="O116" i="10"/>
  <c r="M117" i="10"/>
  <c r="O117" i="10"/>
  <c r="M118" i="10"/>
  <c r="O118" i="10"/>
  <c r="M119" i="10"/>
  <c r="O119" i="10"/>
  <c r="M120" i="10"/>
  <c r="O120" i="10"/>
  <c r="M121" i="10"/>
  <c r="O121" i="10"/>
  <c r="M122" i="10"/>
  <c r="O122" i="10"/>
  <c r="M123" i="10"/>
  <c r="O123" i="10"/>
  <c r="M124" i="10"/>
  <c r="O124" i="10"/>
  <c r="M125" i="10"/>
  <c r="O125" i="10"/>
  <c r="M126" i="10"/>
  <c r="O126" i="10"/>
  <c r="M127" i="10"/>
  <c r="O127" i="10"/>
  <c r="M128" i="10"/>
  <c r="O128" i="10"/>
  <c r="M129" i="10"/>
  <c r="O129" i="10"/>
  <c r="M130" i="10"/>
  <c r="O130" i="10"/>
  <c r="M131" i="10"/>
  <c r="O131" i="10"/>
  <c r="M132" i="10"/>
  <c r="O132" i="10"/>
  <c r="M133" i="10"/>
  <c r="O133" i="10"/>
  <c r="M134" i="10"/>
  <c r="O134" i="10"/>
  <c r="M135" i="10"/>
  <c r="O135" i="10"/>
  <c r="M136" i="10"/>
  <c r="O136" i="10"/>
  <c r="M137" i="10"/>
  <c r="O137" i="10"/>
  <c r="M138" i="10"/>
  <c r="O138" i="10"/>
  <c r="M139" i="10"/>
  <c r="O139" i="10"/>
  <c r="M140" i="10"/>
  <c r="O140" i="10"/>
  <c r="M141" i="10"/>
  <c r="O141" i="10"/>
  <c r="M142" i="10"/>
  <c r="O142" i="10"/>
  <c r="M143" i="10"/>
  <c r="O143" i="10"/>
  <c r="M144" i="10"/>
  <c r="O144" i="10"/>
  <c r="M145" i="10"/>
  <c r="O145" i="10"/>
  <c r="M146" i="10"/>
  <c r="O146" i="10"/>
  <c r="M147" i="10"/>
  <c r="O147" i="10"/>
  <c r="M148" i="10"/>
  <c r="O148" i="10"/>
  <c r="M149" i="10"/>
  <c r="O149" i="10"/>
  <c r="M150" i="10"/>
  <c r="O150" i="10"/>
  <c r="M151" i="10"/>
  <c r="O151" i="10"/>
  <c r="M152" i="10"/>
  <c r="O152" i="10"/>
  <c r="M153" i="10"/>
  <c r="O153" i="10"/>
  <c r="M154" i="10"/>
  <c r="O154" i="10"/>
  <c r="I11" i="9"/>
  <c r="K11" i="9"/>
  <c r="I17" i="9"/>
  <c r="L17" i="9"/>
  <c r="N17" i="9"/>
  <c r="O17" i="9" s="1"/>
  <c r="I18" i="9"/>
  <c r="L18" i="9"/>
  <c r="N18" i="9"/>
  <c r="O18" i="9" s="1"/>
  <c r="I19" i="9"/>
  <c r="L19" i="9"/>
  <c r="N19" i="9"/>
  <c r="O19" i="9" s="1"/>
  <c r="I21" i="9"/>
  <c r="N30" i="9"/>
  <c r="N31" i="9"/>
  <c r="L32" i="9"/>
  <c r="N32" i="9"/>
  <c r="L33" i="9"/>
  <c r="N33" i="9"/>
  <c r="L34" i="9"/>
  <c r="N34" i="9"/>
  <c r="L35" i="9"/>
  <c r="N35" i="9"/>
  <c r="L36" i="9"/>
  <c r="N36" i="9"/>
  <c r="L37" i="9"/>
  <c r="N37" i="9"/>
  <c r="L38" i="9"/>
  <c r="N38" i="9"/>
  <c r="L39" i="9"/>
  <c r="N39" i="9"/>
  <c r="L40" i="9"/>
  <c r="N40" i="9"/>
  <c r="L41" i="9"/>
  <c r="N41" i="9"/>
  <c r="L42" i="9"/>
  <c r="N42" i="9"/>
  <c r="L43" i="9"/>
  <c r="N43" i="9"/>
  <c r="L44" i="9"/>
  <c r="N44" i="9"/>
  <c r="L45" i="9"/>
  <c r="N45" i="9"/>
  <c r="L46" i="9"/>
  <c r="N46" i="9"/>
  <c r="L47" i="9"/>
  <c r="N47" i="9"/>
  <c r="L48" i="9"/>
  <c r="N48" i="9"/>
  <c r="L49" i="9"/>
  <c r="N49" i="9"/>
  <c r="L50" i="9"/>
  <c r="N50" i="9"/>
  <c r="L51" i="9"/>
  <c r="N51" i="9"/>
  <c r="L52" i="9"/>
  <c r="N52" i="9"/>
  <c r="L53" i="9"/>
  <c r="N53" i="9"/>
  <c r="L54" i="9"/>
  <c r="N54" i="9"/>
  <c r="L55" i="9"/>
  <c r="N55" i="9"/>
  <c r="L56" i="9"/>
  <c r="N56" i="9"/>
  <c r="L57" i="9"/>
  <c r="N57" i="9"/>
  <c r="L58" i="9"/>
  <c r="N58" i="9"/>
  <c r="L59" i="9"/>
  <c r="N59" i="9"/>
  <c r="L60" i="9"/>
  <c r="N60" i="9"/>
  <c r="L61" i="9"/>
  <c r="N61" i="9"/>
  <c r="L62" i="9"/>
  <c r="N62" i="9"/>
  <c r="L63" i="9"/>
  <c r="N63" i="9"/>
  <c r="L64" i="9"/>
  <c r="N64" i="9"/>
  <c r="L65" i="9"/>
  <c r="N65" i="9"/>
  <c r="L66" i="9"/>
  <c r="N66" i="9"/>
  <c r="L67" i="9"/>
  <c r="N67" i="9"/>
  <c r="L68" i="9"/>
  <c r="N68" i="9"/>
  <c r="L69" i="9"/>
  <c r="N69" i="9"/>
  <c r="L70" i="9"/>
  <c r="N70" i="9"/>
  <c r="L71" i="9"/>
  <c r="N71" i="9"/>
  <c r="L72" i="9"/>
  <c r="N72" i="9"/>
  <c r="D89" i="9"/>
  <c r="D91" i="9"/>
  <c r="J93" i="9"/>
  <c r="L93" i="9"/>
  <c r="D96" i="9"/>
  <c r="J99" i="9"/>
  <c r="M99" i="9"/>
  <c r="O99" i="9"/>
  <c r="J100" i="9"/>
  <c r="M100" i="9"/>
  <c r="O100" i="9"/>
  <c r="J101" i="9"/>
  <c r="M101" i="9"/>
  <c r="O101" i="9"/>
  <c r="P101" i="9" s="1"/>
  <c r="J102" i="9"/>
  <c r="O102" i="9"/>
  <c r="P102" i="9" s="1"/>
  <c r="O103" i="9"/>
  <c r="P103" i="9" s="1"/>
  <c r="O111" i="9"/>
  <c r="O112" i="9"/>
  <c r="M113" i="9"/>
  <c r="O113" i="9"/>
  <c r="M114" i="9"/>
  <c r="O114" i="9"/>
  <c r="M115" i="9"/>
  <c r="O115" i="9"/>
  <c r="M116" i="9"/>
  <c r="O116" i="9"/>
  <c r="M117" i="9"/>
  <c r="O117" i="9"/>
  <c r="M118" i="9"/>
  <c r="O118" i="9"/>
  <c r="M119" i="9"/>
  <c r="O119" i="9"/>
  <c r="M120" i="9"/>
  <c r="O120" i="9"/>
  <c r="M121" i="9"/>
  <c r="O121" i="9"/>
  <c r="M122" i="9"/>
  <c r="O122" i="9"/>
  <c r="M123" i="9"/>
  <c r="O123" i="9"/>
  <c r="M124" i="9"/>
  <c r="O124" i="9"/>
  <c r="M125" i="9"/>
  <c r="O125" i="9"/>
  <c r="M126" i="9"/>
  <c r="O126" i="9"/>
  <c r="M127" i="9"/>
  <c r="O127" i="9"/>
  <c r="M128" i="9"/>
  <c r="O128" i="9"/>
  <c r="M129" i="9"/>
  <c r="O129" i="9"/>
  <c r="M130" i="9"/>
  <c r="O130" i="9"/>
  <c r="J131" i="9"/>
  <c r="M131" i="9"/>
  <c r="O131" i="9"/>
  <c r="P131" i="9"/>
  <c r="J132" i="9"/>
  <c r="M132" i="9"/>
  <c r="O132" i="9"/>
  <c r="P132" i="9"/>
  <c r="J133" i="9"/>
  <c r="M133" i="9"/>
  <c r="O133" i="9"/>
  <c r="P133" i="9"/>
  <c r="J134" i="9"/>
  <c r="M134" i="9"/>
  <c r="O134" i="9"/>
  <c r="P134" i="9"/>
  <c r="J135" i="9"/>
  <c r="M135" i="9"/>
  <c r="O135" i="9"/>
  <c r="P135" i="9"/>
  <c r="J136" i="9"/>
  <c r="M136" i="9"/>
  <c r="O136" i="9"/>
  <c r="P136" i="9"/>
  <c r="J137" i="9"/>
  <c r="M137" i="9"/>
  <c r="O137" i="9"/>
  <c r="P137" i="9"/>
  <c r="J138" i="9"/>
  <c r="M138" i="9"/>
  <c r="O138" i="9"/>
  <c r="P138" i="9"/>
  <c r="J139" i="9"/>
  <c r="M139" i="9"/>
  <c r="O139" i="9"/>
  <c r="P139" i="9"/>
  <c r="J140" i="9"/>
  <c r="M140" i="9"/>
  <c r="O140" i="9"/>
  <c r="P140" i="9"/>
  <c r="J141" i="9"/>
  <c r="M141" i="9"/>
  <c r="O141" i="9"/>
  <c r="P141" i="9"/>
  <c r="J142" i="9"/>
  <c r="M142" i="9"/>
  <c r="O142" i="9"/>
  <c r="P142" i="9"/>
  <c r="J143" i="9"/>
  <c r="M143" i="9"/>
  <c r="O143" i="9"/>
  <c r="P143" i="9"/>
  <c r="J144" i="9"/>
  <c r="M144" i="9"/>
  <c r="O144" i="9"/>
  <c r="P144" i="9"/>
  <c r="J145" i="9"/>
  <c r="M145" i="9"/>
  <c r="O145" i="9"/>
  <c r="P145" i="9"/>
  <c r="J146" i="9"/>
  <c r="M146" i="9"/>
  <c r="O146" i="9"/>
  <c r="P146" i="9"/>
  <c r="J147" i="9"/>
  <c r="M147" i="9"/>
  <c r="O147" i="9"/>
  <c r="P147" i="9"/>
  <c r="J148" i="9"/>
  <c r="M148" i="9"/>
  <c r="O148" i="9"/>
  <c r="P148" i="9"/>
  <c r="J149" i="9"/>
  <c r="M149" i="9"/>
  <c r="O149" i="9"/>
  <c r="P149" i="9"/>
  <c r="J150" i="9"/>
  <c r="M150" i="9"/>
  <c r="O150" i="9"/>
  <c r="P150" i="9"/>
  <c r="J151" i="9"/>
  <c r="M151" i="9"/>
  <c r="O151" i="9"/>
  <c r="P151" i="9"/>
  <c r="J152" i="9"/>
  <c r="M152" i="9"/>
  <c r="O152" i="9"/>
  <c r="P152" i="9"/>
  <c r="J153" i="9"/>
  <c r="M153" i="9"/>
  <c r="O153" i="9"/>
  <c r="P153" i="9"/>
  <c r="J154" i="9"/>
  <c r="M154" i="9"/>
  <c r="O154" i="9"/>
  <c r="P154" i="9"/>
  <c r="I11" i="8"/>
  <c r="K11" i="8"/>
  <c r="I17" i="8"/>
  <c r="L17" i="8"/>
  <c r="N17" i="8"/>
  <c r="I18" i="8"/>
  <c r="L18" i="8"/>
  <c r="N18" i="8"/>
  <c r="O18" i="8" s="1"/>
  <c r="I19" i="8"/>
  <c r="N19" i="8"/>
  <c r="I20" i="8"/>
  <c r="L20" i="8"/>
  <c r="N20" i="8"/>
  <c r="L21" i="8"/>
  <c r="N29" i="8"/>
  <c r="N30" i="8"/>
  <c r="L31" i="8"/>
  <c r="N31" i="8"/>
  <c r="L32" i="8"/>
  <c r="N32" i="8"/>
  <c r="L33" i="8"/>
  <c r="N33" i="8"/>
  <c r="L34" i="8"/>
  <c r="N34" i="8"/>
  <c r="L35" i="8"/>
  <c r="N35" i="8"/>
  <c r="L36" i="8"/>
  <c r="N36" i="8"/>
  <c r="L37" i="8"/>
  <c r="N37" i="8"/>
  <c r="L38" i="8"/>
  <c r="N38" i="8"/>
  <c r="L39" i="8"/>
  <c r="N39" i="8"/>
  <c r="L40" i="8"/>
  <c r="N40" i="8"/>
  <c r="L41" i="8"/>
  <c r="N41" i="8"/>
  <c r="L42" i="8"/>
  <c r="N42" i="8"/>
  <c r="L43" i="8"/>
  <c r="N43" i="8"/>
  <c r="L44" i="8"/>
  <c r="N44" i="8"/>
  <c r="L45" i="8"/>
  <c r="N45" i="8"/>
  <c r="L46" i="8"/>
  <c r="N46" i="8"/>
  <c r="L47" i="8"/>
  <c r="N47" i="8"/>
  <c r="L48" i="8"/>
  <c r="N48" i="8"/>
  <c r="L49" i="8"/>
  <c r="N49" i="8"/>
  <c r="L50" i="8"/>
  <c r="N50" i="8"/>
  <c r="L51" i="8"/>
  <c r="N51" i="8"/>
  <c r="L52" i="8"/>
  <c r="N52" i="8"/>
  <c r="L53" i="8"/>
  <c r="N53" i="8"/>
  <c r="L54" i="8"/>
  <c r="N54" i="8"/>
  <c r="L55" i="8"/>
  <c r="N55" i="8"/>
  <c r="L56" i="8"/>
  <c r="N56" i="8"/>
  <c r="L57" i="8"/>
  <c r="N57" i="8"/>
  <c r="L58" i="8"/>
  <c r="N58" i="8"/>
  <c r="L59" i="8"/>
  <c r="N59" i="8"/>
  <c r="L60" i="8"/>
  <c r="N60" i="8"/>
  <c r="L61" i="8"/>
  <c r="N61" i="8"/>
  <c r="L62" i="8"/>
  <c r="N62" i="8"/>
  <c r="L63" i="8"/>
  <c r="N63" i="8"/>
  <c r="L64" i="8"/>
  <c r="N64" i="8"/>
  <c r="L65" i="8"/>
  <c r="N65" i="8"/>
  <c r="L66" i="8"/>
  <c r="N66" i="8"/>
  <c r="L67" i="8"/>
  <c r="N67" i="8"/>
  <c r="L68" i="8"/>
  <c r="N68" i="8"/>
  <c r="L69" i="8"/>
  <c r="N69" i="8"/>
  <c r="L70" i="8"/>
  <c r="N70" i="8"/>
  <c r="L71" i="8"/>
  <c r="N71" i="8"/>
  <c r="L72" i="8"/>
  <c r="N72" i="8"/>
  <c r="D89" i="8"/>
  <c r="D91" i="8"/>
  <c r="J93" i="8"/>
  <c r="L93" i="8"/>
  <c r="D96" i="8"/>
  <c r="J99" i="8"/>
  <c r="M99" i="8"/>
  <c r="O99" i="8"/>
  <c r="J100" i="8"/>
  <c r="J101" i="8"/>
  <c r="O101" i="8"/>
  <c r="M102" i="8"/>
  <c r="O102" i="8"/>
  <c r="O110" i="8"/>
  <c r="O111" i="8"/>
  <c r="M112" i="8"/>
  <c r="O112" i="8"/>
  <c r="M113" i="8"/>
  <c r="O113" i="8"/>
  <c r="M114" i="8"/>
  <c r="O114" i="8"/>
  <c r="M115" i="8"/>
  <c r="O115" i="8"/>
  <c r="M116" i="8"/>
  <c r="O116" i="8"/>
  <c r="M117" i="8"/>
  <c r="O117" i="8"/>
  <c r="M118" i="8"/>
  <c r="O118" i="8"/>
  <c r="M119" i="8"/>
  <c r="O119" i="8"/>
  <c r="M120" i="8"/>
  <c r="O120" i="8"/>
  <c r="M121" i="8"/>
  <c r="O121" i="8"/>
  <c r="M122" i="8"/>
  <c r="O122" i="8"/>
  <c r="M123" i="8"/>
  <c r="O123" i="8"/>
  <c r="M124" i="8"/>
  <c r="O124" i="8"/>
  <c r="M125" i="8"/>
  <c r="O125" i="8"/>
  <c r="M126" i="8"/>
  <c r="O126" i="8"/>
  <c r="M127" i="8"/>
  <c r="O127" i="8"/>
  <c r="M128" i="8"/>
  <c r="O128" i="8"/>
  <c r="M129" i="8"/>
  <c r="O129" i="8"/>
  <c r="M130" i="8"/>
  <c r="O130" i="8"/>
  <c r="M131" i="8"/>
  <c r="O131" i="8"/>
  <c r="M132" i="8"/>
  <c r="O132" i="8"/>
  <c r="M133" i="8"/>
  <c r="O133" i="8"/>
  <c r="M134" i="8"/>
  <c r="O134" i="8"/>
  <c r="M135" i="8"/>
  <c r="O135" i="8"/>
  <c r="M136" i="8"/>
  <c r="O136" i="8"/>
  <c r="M137" i="8"/>
  <c r="O137" i="8"/>
  <c r="M138" i="8"/>
  <c r="O138" i="8"/>
  <c r="M139" i="8"/>
  <c r="O139" i="8"/>
  <c r="M140" i="8"/>
  <c r="O140" i="8"/>
  <c r="M141" i="8"/>
  <c r="O141" i="8"/>
  <c r="M142" i="8"/>
  <c r="O142" i="8"/>
  <c r="M143" i="8"/>
  <c r="O143" i="8"/>
  <c r="M144" i="8"/>
  <c r="O144" i="8"/>
  <c r="M145" i="8"/>
  <c r="O145" i="8"/>
  <c r="M146" i="8"/>
  <c r="O146" i="8"/>
  <c r="M147" i="8"/>
  <c r="O147" i="8"/>
  <c r="M148" i="8"/>
  <c r="O148" i="8"/>
  <c r="M149" i="8"/>
  <c r="O149" i="8"/>
  <c r="M150" i="8"/>
  <c r="O150" i="8"/>
  <c r="M151" i="8"/>
  <c r="O151" i="8"/>
  <c r="M152" i="8"/>
  <c r="O152" i="8"/>
  <c r="M153" i="8"/>
  <c r="O153" i="8"/>
  <c r="M154" i="8"/>
  <c r="O154" i="8"/>
  <c r="I11" i="7"/>
  <c r="K11" i="7"/>
  <c r="I17" i="7"/>
  <c r="L17" i="7"/>
  <c r="N17" i="7"/>
  <c r="O17" i="7" s="1"/>
  <c r="I18" i="7"/>
  <c r="N18" i="7"/>
  <c r="I19" i="7"/>
  <c r="L19" i="7"/>
  <c r="N19" i="7"/>
  <c r="I20" i="7"/>
  <c r="L20" i="7"/>
  <c r="N20" i="7"/>
  <c r="I21" i="7"/>
  <c r="L21" i="7"/>
  <c r="N21" i="7"/>
  <c r="I22" i="7"/>
  <c r="L23" i="7"/>
  <c r="N31" i="7"/>
  <c r="N32" i="7"/>
  <c r="L33" i="7"/>
  <c r="N33" i="7"/>
  <c r="L34" i="7"/>
  <c r="N34" i="7"/>
  <c r="L35" i="7"/>
  <c r="N35" i="7"/>
  <c r="L36" i="7"/>
  <c r="N36" i="7"/>
  <c r="L37" i="7"/>
  <c r="N37" i="7"/>
  <c r="L38" i="7"/>
  <c r="N38" i="7"/>
  <c r="L39" i="7"/>
  <c r="N39" i="7"/>
  <c r="L40" i="7"/>
  <c r="N40" i="7"/>
  <c r="L41" i="7"/>
  <c r="N41" i="7"/>
  <c r="L42" i="7"/>
  <c r="N42" i="7"/>
  <c r="L43" i="7"/>
  <c r="N43" i="7"/>
  <c r="L44" i="7"/>
  <c r="N44" i="7"/>
  <c r="L45" i="7"/>
  <c r="N45" i="7"/>
  <c r="L46" i="7"/>
  <c r="N46" i="7"/>
  <c r="L47" i="7"/>
  <c r="N47" i="7"/>
  <c r="L48" i="7"/>
  <c r="N48" i="7"/>
  <c r="L49" i="7"/>
  <c r="N49" i="7"/>
  <c r="L50" i="7"/>
  <c r="N50" i="7"/>
  <c r="L51" i="7"/>
  <c r="N51" i="7"/>
  <c r="L52" i="7"/>
  <c r="N52" i="7"/>
  <c r="L53" i="7"/>
  <c r="N53" i="7"/>
  <c r="L54" i="7"/>
  <c r="N54" i="7"/>
  <c r="L55" i="7"/>
  <c r="N55" i="7"/>
  <c r="L56" i="7"/>
  <c r="N56" i="7"/>
  <c r="L57" i="7"/>
  <c r="N57" i="7"/>
  <c r="L58" i="7"/>
  <c r="N58" i="7"/>
  <c r="L59" i="7"/>
  <c r="N59" i="7"/>
  <c r="L60" i="7"/>
  <c r="N60" i="7"/>
  <c r="L61" i="7"/>
  <c r="N61" i="7"/>
  <c r="L62" i="7"/>
  <c r="N62" i="7"/>
  <c r="L63" i="7"/>
  <c r="N63" i="7"/>
  <c r="L64" i="7"/>
  <c r="N64" i="7"/>
  <c r="L65" i="7"/>
  <c r="N65" i="7"/>
  <c r="L66" i="7"/>
  <c r="N66" i="7"/>
  <c r="L67" i="7"/>
  <c r="N67" i="7"/>
  <c r="L68" i="7"/>
  <c r="N68" i="7"/>
  <c r="L69" i="7"/>
  <c r="N69" i="7"/>
  <c r="L70" i="7"/>
  <c r="N70" i="7"/>
  <c r="L71" i="7"/>
  <c r="N71" i="7"/>
  <c r="L72" i="7"/>
  <c r="N72" i="7"/>
  <c r="D89" i="7"/>
  <c r="D91" i="7"/>
  <c r="J93" i="7"/>
  <c r="L93" i="7"/>
  <c r="D96" i="7"/>
  <c r="J99" i="7"/>
  <c r="M99" i="7"/>
  <c r="O99" i="7"/>
  <c r="J100" i="7"/>
  <c r="M100" i="7"/>
  <c r="O100" i="7"/>
  <c r="J101" i="7"/>
  <c r="O101" i="7"/>
  <c r="P101" i="7" s="1"/>
  <c r="J102" i="7"/>
  <c r="O102" i="7"/>
  <c r="P102" i="7" s="1"/>
  <c r="J103" i="7"/>
  <c r="O103" i="7"/>
  <c r="P103" i="7" s="1"/>
  <c r="M104" i="7"/>
  <c r="O112" i="7"/>
  <c r="O113" i="7"/>
  <c r="M114" i="7"/>
  <c r="O114" i="7"/>
  <c r="M115" i="7"/>
  <c r="O115" i="7"/>
  <c r="M116" i="7"/>
  <c r="O116" i="7"/>
  <c r="M117" i="7"/>
  <c r="O117" i="7"/>
  <c r="M118" i="7"/>
  <c r="O118" i="7"/>
  <c r="M119" i="7"/>
  <c r="O119" i="7"/>
  <c r="M120" i="7"/>
  <c r="O120" i="7"/>
  <c r="M121" i="7"/>
  <c r="O121" i="7"/>
  <c r="M122" i="7"/>
  <c r="O122" i="7"/>
  <c r="M123" i="7"/>
  <c r="O123" i="7"/>
  <c r="M124" i="7"/>
  <c r="O124" i="7"/>
  <c r="M125" i="7"/>
  <c r="O125" i="7"/>
  <c r="M126" i="7"/>
  <c r="O126" i="7"/>
  <c r="M127" i="7"/>
  <c r="O127" i="7"/>
  <c r="M128" i="7"/>
  <c r="O128" i="7"/>
  <c r="M129" i="7"/>
  <c r="O129" i="7"/>
  <c r="M130" i="7"/>
  <c r="O130" i="7"/>
  <c r="M131" i="7"/>
  <c r="O131" i="7"/>
  <c r="M132" i="7"/>
  <c r="O132" i="7"/>
  <c r="M133" i="7"/>
  <c r="O133" i="7"/>
  <c r="M134" i="7"/>
  <c r="O134" i="7"/>
  <c r="M135" i="7"/>
  <c r="O135" i="7"/>
  <c r="M136" i="7"/>
  <c r="O136" i="7"/>
  <c r="M137" i="7"/>
  <c r="O137" i="7"/>
  <c r="M138" i="7"/>
  <c r="O138" i="7"/>
  <c r="M139" i="7"/>
  <c r="O139" i="7"/>
  <c r="M140" i="7"/>
  <c r="O140" i="7"/>
  <c r="M141" i="7"/>
  <c r="O141" i="7"/>
  <c r="M142" i="7"/>
  <c r="O142" i="7"/>
  <c r="M143" i="7"/>
  <c r="O143" i="7"/>
  <c r="M144" i="7"/>
  <c r="O144" i="7"/>
  <c r="M145" i="7"/>
  <c r="O145" i="7"/>
  <c r="M146" i="7"/>
  <c r="O146" i="7"/>
  <c r="M147" i="7"/>
  <c r="O147" i="7"/>
  <c r="M148" i="7"/>
  <c r="O148" i="7"/>
  <c r="M149" i="7"/>
  <c r="O149" i="7"/>
  <c r="M150" i="7"/>
  <c r="O150" i="7"/>
  <c r="M151" i="7"/>
  <c r="O151" i="7"/>
  <c r="M152" i="7"/>
  <c r="O152" i="7"/>
  <c r="M153" i="7"/>
  <c r="O153" i="7"/>
  <c r="M154" i="7"/>
  <c r="O154" i="7"/>
  <c r="K11" i="6"/>
  <c r="I17" i="6"/>
  <c r="L17" i="6"/>
  <c r="N17" i="6"/>
  <c r="O17" i="6" s="1"/>
  <c r="I18" i="6"/>
  <c r="L18" i="6"/>
  <c r="N18" i="6"/>
  <c r="O18" i="6" s="1"/>
  <c r="N19" i="6"/>
  <c r="O19" i="6" s="1"/>
  <c r="N20" i="6"/>
  <c r="L21" i="6"/>
  <c r="N29" i="6"/>
  <c r="N30" i="6"/>
  <c r="L31" i="6"/>
  <c r="N31" i="6"/>
  <c r="L32" i="6"/>
  <c r="N32" i="6"/>
  <c r="L33" i="6"/>
  <c r="N33" i="6"/>
  <c r="L34" i="6"/>
  <c r="N34" i="6"/>
  <c r="L35" i="6"/>
  <c r="N35" i="6"/>
  <c r="L36" i="6"/>
  <c r="N36" i="6"/>
  <c r="L37" i="6"/>
  <c r="N37" i="6"/>
  <c r="L38" i="6"/>
  <c r="N38" i="6"/>
  <c r="L39" i="6"/>
  <c r="N39" i="6"/>
  <c r="L40" i="6"/>
  <c r="N40" i="6"/>
  <c r="L41" i="6"/>
  <c r="N41" i="6"/>
  <c r="L42" i="6"/>
  <c r="N42" i="6"/>
  <c r="L43" i="6"/>
  <c r="N43" i="6"/>
  <c r="L44" i="6"/>
  <c r="N44" i="6"/>
  <c r="C61" i="6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L45" i="6"/>
  <c r="N45" i="6"/>
  <c r="L46" i="6"/>
  <c r="N46" i="6"/>
  <c r="L47" i="6"/>
  <c r="N47" i="6"/>
  <c r="L48" i="6"/>
  <c r="N48" i="6"/>
  <c r="L49" i="6"/>
  <c r="N49" i="6"/>
  <c r="L50" i="6"/>
  <c r="N50" i="6"/>
  <c r="L51" i="6"/>
  <c r="N51" i="6"/>
  <c r="L52" i="6"/>
  <c r="N52" i="6"/>
  <c r="L53" i="6"/>
  <c r="N53" i="6"/>
  <c r="L54" i="6"/>
  <c r="N54" i="6"/>
  <c r="L55" i="6"/>
  <c r="N55" i="6"/>
  <c r="L56" i="6"/>
  <c r="N56" i="6"/>
  <c r="L57" i="6"/>
  <c r="N57" i="6"/>
  <c r="L58" i="6"/>
  <c r="N58" i="6"/>
  <c r="L59" i="6"/>
  <c r="N59" i="6"/>
  <c r="L60" i="6"/>
  <c r="N60" i="6"/>
  <c r="L61" i="6"/>
  <c r="N61" i="6"/>
  <c r="L62" i="6"/>
  <c r="N62" i="6"/>
  <c r="L63" i="6"/>
  <c r="N63" i="6"/>
  <c r="L64" i="6"/>
  <c r="N64" i="6"/>
  <c r="L65" i="6"/>
  <c r="N65" i="6"/>
  <c r="L66" i="6"/>
  <c r="N66" i="6"/>
  <c r="L67" i="6"/>
  <c r="N67" i="6"/>
  <c r="L68" i="6"/>
  <c r="N68" i="6"/>
  <c r="L69" i="6"/>
  <c r="N69" i="6"/>
  <c r="L70" i="6"/>
  <c r="N70" i="6"/>
  <c r="L71" i="6"/>
  <c r="N71" i="6"/>
  <c r="L72" i="6"/>
  <c r="N72" i="6"/>
  <c r="D89" i="6"/>
  <c r="D91" i="6"/>
  <c r="J93" i="6"/>
  <c r="L93" i="6"/>
  <c r="D96" i="6"/>
  <c r="J99" i="6"/>
  <c r="M99" i="6"/>
  <c r="J100" i="6"/>
  <c r="M100" i="6"/>
  <c r="J101" i="6"/>
  <c r="O101" i="6"/>
  <c r="O102" i="6"/>
  <c r="P102" i="6" s="1"/>
  <c r="O110" i="6"/>
  <c r="O111" i="6"/>
  <c r="M112" i="6"/>
  <c r="O112" i="6"/>
  <c r="M113" i="6"/>
  <c r="O113" i="6"/>
  <c r="M114" i="6"/>
  <c r="O114" i="6"/>
  <c r="M115" i="6"/>
  <c r="O115" i="6"/>
  <c r="M116" i="6"/>
  <c r="O116" i="6"/>
  <c r="M117" i="6"/>
  <c r="O117" i="6"/>
  <c r="M118" i="6"/>
  <c r="O118" i="6"/>
  <c r="M119" i="6"/>
  <c r="O119" i="6"/>
  <c r="M120" i="6"/>
  <c r="O120" i="6"/>
  <c r="M121" i="6"/>
  <c r="O121" i="6"/>
  <c r="M122" i="6"/>
  <c r="O122" i="6"/>
  <c r="M123" i="6"/>
  <c r="O123" i="6"/>
  <c r="M124" i="6"/>
  <c r="O124" i="6"/>
  <c r="M125" i="6"/>
  <c r="O125" i="6"/>
  <c r="M126" i="6"/>
  <c r="O126" i="6"/>
  <c r="M127" i="6"/>
  <c r="O127" i="6"/>
  <c r="M128" i="6"/>
  <c r="O128" i="6"/>
  <c r="M129" i="6"/>
  <c r="O129" i="6"/>
  <c r="M130" i="6"/>
  <c r="O130" i="6"/>
  <c r="M131" i="6"/>
  <c r="O131" i="6"/>
  <c r="M132" i="6"/>
  <c r="O132" i="6"/>
  <c r="M133" i="6"/>
  <c r="O133" i="6"/>
  <c r="M134" i="6"/>
  <c r="O134" i="6"/>
  <c r="M135" i="6"/>
  <c r="O135" i="6"/>
  <c r="M136" i="6"/>
  <c r="O136" i="6"/>
  <c r="M137" i="6"/>
  <c r="O137" i="6"/>
  <c r="M138" i="6"/>
  <c r="O138" i="6"/>
  <c r="M139" i="6"/>
  <c r="O139" i="6"/>
  <c r="M140" i="6"/>
  <c r="O140" i="6"/>
  <c r="M141" i="6"/>
  <c r="O141" i="6"/>
  <c r="M142" i="6"/>
  <c r="O142" i="6"/>
  <c r="M143" i="6"/>
  <c r="O143" i="6"/>
  <c r="M144" i="6"/>
  <c r="O144" i="6"/>
  <c r="M145" i="6"/>
  <c r="O145" i="6"/>
  <c r="M146" i="6"/>
  <c r="O146" i="6"/>
  <c r="M147" i="6"/>
  <c r="O147" i="6"/>
  <c r="M148" i="6"/>
  <c r="O148" i="6"/>
  <c r="M149" i="6"/>
  <c r="O149" i="6"/>
  <c r="M150" i="6"/>
  <c r="O150" i="6"/>
  <c r="M151" i="6"/>
  <c r="O151" i="6"/>
  <c r="M152" i="6"/>
  <c r="O152" i="6"/>
  <c r="M153" i="6"/>
  <c r="O153" i="6"/>
  <c r="M154" i="6"/>
  <c r="O154" i="6"/>
  <c r="K11" i="5"/>
  <c r="I17" i="5"/>
  <c r="L17" i="5"/>
  <c r="N17" i="5"/>
  <c r="I18" i="5"/>
  <c r="N18" i="5"/>
  <c r="I19" i="5"/>
  <c r="L19" i="5"/>
  <c r="N19" i="5"/>
  <c r="O19" i="5" s="1"/>
  <c r="L20" i="5"/>
  <c r="O20" i="5" s="1"/>
  <c r="N28" i="5"/>
  <c r="N29" i="5"/>
  <c r="L30" i="5"/>
  <c r="N30" i="5"/>
  <c r="L31" i="5"/>
  <c r="N31" i="5"/>
  <c r="L32" i="5"/>
  <c r="N32" i="5"/>
  <c r="L33" i="5"/>
  <c r="N33" i="5"/>
  <c r="L34" i="5"/>
  <c r="N34" i="5"/>
  <c r="L35" i="5"/>
  <c r="N35" i="5"/>
  <c r="L36" i="5"/>
  <c r="N36" i="5"/>
  <c r="L37" i="5"/>
  <c r="N37" i="5"/>
  <c r="L38" i="5"/>
  <c r="N38" i="5"/>
  <c r="L39" i="5"/>
  <c r="N39" i="5"/>
  <c r="L40" i="5"/>
  <c r="N40" i="5"/>
  <c r="L41" i="5"/>
  <c r="N41" i="5"/>
  <c r="L42" i="5"/>
  <c r="N42" i="5"/>
  <c r="L43" i="5"/>
  <c r="N43" i="5"/>
  <c r="L44" i="5"/>
  <c r="N44" i="5"/>
  <c r="L45" i="5"/>
  <c r="N45" i="5"/>
  <c r="L46" i="5"/>
  <c r="N46" i="5"/>
  <c r="L47" i="5"/>
  <c r="N47" i="5"/>
  <c r="L48" i="5"/>
  <c r="N48" i="5"/>
  <c r="I49" i="5"/>
  <c r="L49" i="5"/>
  <c r="N49" i="5"/>
  <c r="O49" i="5"/>
  <c r="I50" i="5"/>
  <c r="L50" i="5"/>
  <c r="N50" i="5"/>
  <c r="O50" i="5"/>
  <c r="I51" i="5"/>
  <c r="L51" i="5"/>
  <c r="N51" i="5"/>
  <c r="O51" i="5"/>
  <c r="I52" i="5"/>
  <c r="L52" i="5"/>
  <c r="N52" i="5"/>
  <c r="O52" i="5"/>
  <c r="I53" i="5"/>
  <c r="L53" i="5"/>
  <c r="N53" i="5"/>
  <c r="O53" i="5"/>
  <c r="I54" i="5"/>
  <c r="L54" i="5"/>
  <c r="N54" i="5"/>
  <c r="O54" i="5"/>
  <c r="I55" i="5"/>
  <c r="L55" i="5"/>
  <c r="N55" i="5"/>
  <c r="O55" i="5"/>
  <c r="I56" i="5"/>
  <c r="L56" i="5"/>
  <c r="N56" i="5"/>
  <c r="O56" i="5"/>
  <c r="I57" i="5"/>
  <c r="L57" i="5"/>
  <c r="N57" i="5"/>
  <c r="O57" i="5"/>
  <c r="I58" i="5"/>
  <c r="L58" i="5"/>
  <c r="N58" i="5"/>
  <c r="O58" i="5"/>
  <c r="I59" i="5"/>
  <c r="L59" i="5"/>
  <c r="N59" i="5"/>
  <c r="O59" i="5"/>
  <c r="I60" i="5"/>
  <c r="L60" i="5"/>
  <c r="N60" i="5"/>
  <c r="O60" i="5"/>
  <c r="I61" i="5"/>
  <c r="L61" i="5"/>
  <c r="N61" i="5"/>
  <c r="O61" i="5"/>
  <c r="I62" i="5"/>
  <c r="L62" i="5"/>
  <c r="N62" i="5"/>
  <c r="O62" i="5"/>
  <c r="I63" i="5"/>
  <c r="L63" i="5"/>
  <c r="N63" i="5"/>
  <c r="O63" i="5"/>
  <c r="I64" i="5"/>
  <c r="L64" i="5"/>
  <c r="N64" i="5"/>
  <c r="O64" i="5"/>
  <c r="I65" i="5"/>
  <c r="L65" i="5"/>
  <c r="N65" i="5"/>
  <c r="O65" i="5"/>
  <c r="I66" i="5"/>
  <c r="L66" i="5"/>
  <c r="N66" i="5"/>
  <c r="O66" i="5"/>
  <c r="I67" i="5"/>
  <c r="L67" i="5"/>
  <c r="N67" i="5"/>
  <c r="O67" i="5"/>
  <c r="I68" i="5"/>
  <c r="L68" i="5"/>
  <c r="N68" i="5"/>
  <c r="O68" i="5"/>
  <c r="I69" i="5"/>
  <c r="L69" i="5"/>
  <c r="N69" i="5"/>
  <c r="O69" i="5"/>
  <c r="I70" i="5"/>
  <c r="L70" i="5"/>
  <c r="N70" i="5"/>
  <c r="O70" i="5"/>
  <c r="I71" i="5"/>
  <c r="L71" i="5"/>
  <c r="N71" i="5"/>
  <c r="O71" i="5"/>
  <c r="I72" i="5"/>
  <c r="L72" i="5"/>
  <c r="N72" i="5"/>
  <c r="O72" i="5"/>
  <c r="D89" i="5"/>
  <c r="D91" i="5"/>
  <c r="J93" i="5"/>
  <c r="L93" i="5"/>
  <c r="D96" i="5"/>
  <c r="J99" i="5"/>
  <c r="O99" i="5"/>
  <c r="J100" i="5"/>
  <c r="M100" i="5"/>
  <c r="O100" i="5"/>
  <c r="M101" i="5"/>
  <c r="O101" i="5"/>
  <c r="P101" i="5" s="1"/>
  <c r="O109" i="5"/>
  <c r="O110" i="5"/>
  <c r="M111" i="5"/>
  <c r="O111" i="5"/>
  <c r="M112" i="5"/>
  <c r="O112" i="5"/>
  <c r="M113" i="5"/>
  <c r="O113" i="5"/>
  <c r="M114" i="5"/>
  <c r="O114" i="5"/>
  <c r="M115" i="5"/>
  <c r="O115" i="5"/>
  <c r="M116" i="5"/>
  <c r="O116" i="5"/>
  <c r="M117" i="5"/>
  <c r="O117" i="5"/>
  <c r="M118" i="5"/>
  <c r="O118" i="5"/>
  <c r="M119" i="5"/>
  <c r="O119" i="5"/>
  <c r="M120" i="5"/>
  <c r="O120" i="5"/>
  <c r="M121" i="5"/>
  <c r="O121" i="5"/>
  <c r="M122" i="5"/>
  <c r="O122" i="5"/>
  <c r="M123" i="5"/>
  <c r="O123" i="5"/>
  <c r="M124" i="5"/>
  <c r="O124" i="5"/>
  <c r="M125" i="5"/>
  <c r="O125" i="5"/>
  <c r="M126" i="5"/>
  <c r="O126" i="5"/>
  <c r="M127" i="5"/>
  <c r="O127" i="5"/>
  <c r="M128" i="5"/>
  <c r="O128" i="5"/>
  <c r="M129" i="5"/>
  <c r="O129" i="5"/>
  <c r="M130" i="5"/>
  <c r="O130" i="5"/>
  <c r="M131" i="5"/>
  <c r="O131" i="5"/>
  <c r="M132" i="5"/>
  <c r="O132" i="5"/>
  <c r="M133" i="5"/>
  <c r="O133" i="5"/>
  <c r="M134" i="5"/>
  <c r="O134" i="5"/>
  <c r="M135" i="5"/>
  <c r="O135" i="5"/>
  <c r="M136" i="5"/>
  <c r="O136" i="5"/>
  <c r="M137" i="5"/>
  <c r="O137" i="5"/>
  <c r="M138" i="5"/>
  <c r="O138" i="5"/>
  <c r="M139" i="5"/>
  <c r="O139" i="5"/>
  <c r="M140" i="5"/>
  <c r="O140" i="5"/>
  <c r="M141" i="5"/>
  <c r="O141" i="5"/>
  <c r="M142" i="5"/>
  <c r="O142" i="5"/>
  <c r="M143" i="5"/>
  <c r="O143" i="5"/>
  <c r="M144" i="5"/>
  <c r="O144" i="5"/>
  <c r="M145" i="5"/>
  <c r="O145" i="5"/>
  <c r="M146" i="5"/>
  <c r="O146" i="5"/>
  <c r="M147" i="5"/>
  <c r="O147" i="5"/>
  <c r="M148" i="5"/>
  <c r="O148" i="5"/>
  <c r="M149" i="5"/>
  <c r="O149" i="5"/>
  <c r="M150" i="5"/>
  <c r="O150" i="5"/>
  <c r="M151" i="5"/>
  <c r="O151" i="5"/>
  <c r="M152" i="5"/>
  <c r="O152" i="5"/>
  <c r="M153" i="5"/>
  <c r="O153" i="5"/>
  <c r="M154" i="5"/>
  <c r="O154" i="5"/>
  <c r="K11" i="4"/>
  <c r="I17" i="4"/>
  <c r="L17" i="4"/>
  <c r="N17" i="4"/>
  <c r="I18" i="4"/>
  <c r="L18" i="4"/>
  <c r="I19" i="4"/>
  <c r="L19" i="4"/>
  <c r="N19" i="4"/>
  <c r="L20" i="4"/>
  <c r="N29" i="4"/>
  <c r="L30" i="4"/>
  <c r="N30" i="4"/>
  <c r="L31" i="4"/>
  <c r="N31" i="4"/>
  <c r="L32" i="4"/>
  <c r="N32" i="4"/>
  <c r="L33" i="4"/>
  <c r="N33" i="4"/>
  <c r="L34" i="4"/>
  <c r="N34" i="4"/>
  <c r="L35" i="4"/>
  <c r="N35" i="4"/>
  <c r="L36" i="4"/>
  <c r="N36" i="4"/>
  <c r="L37" i="4"/>
  <c r="N37" i="4"/>
  <c r="L38" i="4"/>
  <c r="N38" i="4"/>
  <c r="L39" i="4"/>
  <c r="N39" i="4"/>
  <c r="L40" i="4"/>
  <c r="N40" i="4"/>
  <c r="L41" i="4"/>
  <c r="N41" i="4"/>
  <c r="L42" i="4"/>
  <c r="N42" i="4"/>
  <c r="L43" i="4"/>
  <c r="N43" i="4"/>
  <c r="L44" i="4"/>
  <c r="N44" i="4"/>
  <c r="L45" i="4"/>
  <c r="N45" i="4"/>
  <c r="L46" i="4"/>
  <c r="N46" i="4"/>
  <c r="L47" i="4"/>
  <c r="N47" i="4"/>
  <c r="L48" i="4"/>
  <c r="N48" i="4"/>
  <c r="L49" i="4"/>
  <c r="N49" i="4"/>
  <c r="L50" i="4"/>
  <c r="N50" i="4"/>
  <c r="L51" i="4"/>
  <c r="N51" i="4"/>
  <c r="L52" i="4"/>
  <c r="N52" i="4"/>
  <c r="L53" i="4"/>
  <c r="N53" i="4"/>
  <c r="L54" i="4"/>
  <c r="N54" i="4"/>
  <c r="L55" i="4"/>
  <c r="N55" i="4"/>
  <c r="L56" i="4"/>
  <c r="N56" i="4"/>
  <c r="L57" i="4"/>
  <c r="N57" i="4"/>
  <c r="L58" i="4"/>
  <c r="N58" i="4"/>
  <c r="L59" i="4"/>
  <c r="N59" i="4"/>
  <c r="L60" i="4"/>
  <c r="N60" i="4"/>
  <c r="L61" i="4"/>
  <c r="N61" i="4"/>
  <c r="L62" i="4"/>
  <c r="N62" i="4"/>
  <c r="L63" i="4"/>
  <c r="N63" i="4"/>
  <c r="L64" i="4"/>
  <c r="N64" i="4"/>
  <c r="L65" i="4"/>
  <c r="N65" i="4"/>
  <c r="L66" i="4"/>
  <c r="N66" i="4"/>
  <c r="L67" i="4"/>
  <c r="N67" i="4"/>
  <c r="L68" i="4"/>
  <c r="N68" i="4"/>
  <c r="L69" i="4"/>
  <c r="N69" i="4"/>
  <c r="L70" i="4"/>
  <c r="N70" i="4"/>
  <c r="L71" i="4"/>
  <c r="N71" i="4"/>
  <c r="L72" i="4"/>
  <c r="N72" i="4"/>
  <c r="D89" i="4"/>
  <c r="D91" i="4"/>
  <c r="J93" i="4"/>
  <c r="L93" i="4"/>
  <c r="D96" i="4"/>
  <c r="J99" i="4"/>
  <c r="M99" i="4"/>
  <c r="O99" i="4"/>
  <c r="J100" i="4"/>
  <c r="O100" i="4"/>
  <c r="M101" i="4"/>
  <c r="P101" i="4"/>
  <c r="O109" i="4"/>
  <c r="O110" i="4"/>
  <c r="M111" i="4"/>
  <c r="O111" i="4"/>
  <c r="M112" i="4"/>
  <c r="O112" i="4"/>
  <c r="M113" i="4"/>
  <c r="O113" i="4"/>
  <c r="M114" i="4"/>
  <c r="O114" i="4"/>
  <c r="M115" i="4"/>
  <c r="O115" i="4"/>
  <c r="M116" i="4"/>
  <c r="O116" i="4"/>
  <c r="M117" i="4"/>
  <c r="O117" i="4"/>
  <c r="M118" i="4"/>
  <c r="O118" i="4"/>
  <c r="M119" i="4"/>
  <c r="O119" i="4"/>
  <c r="M120" i="4"/>
  <c r="O120" i="4"/>
  <c r="M121" i="4"/>
  <c r="O121" i="4"/>
  <c r="M122" i="4"/>
  <c r="O122" i="4"/>
  <c r="M123" i="4"/>
  <c r="O123" i="4"/>
  <c r="M124" i="4"/>
  <c r="O124" i="4"/>
  <c r="M125" i="4"/>
  <c r="O125" i="4"/>
  <c r="M126" i="4"/>
  <c r="O126" i="4"/>
  <c r="M127" i="4"/>
  <c r="O127" i="4"/>
  <c r="M128" i="4"/>
  <c r="O128" i="4"/>
  <c r="M129" i="4"/>
  <c r="O129" i="4"/>
  <c r="M130" i="4"/>
  <c r="O130" i="4"/>
  <c r="M131" i="4"/>
  <c r="O131" i="4"/>
  <c r="M132" i="4"/>
  <c r="O132" i="4"/>
  <c r="M133" i="4"/>
  <c r="O133" i="4"/>
  <c r="M134" i="4"/>
  <c r="O134" i="4"/>
  <c r="M135" i="4"/>
  <c r="O135" i="4"/>
  <c r="M136" i="4"/>
  <c r="O136" i="4"/>
  <c r="M137" i="4"/>
  <c r="O137" i="4"/>
  <c r="M138" i="4"/>
  <c r="O138" i="4"/>
  <c r="M139" i="4"/>
  <c r="O139" i="4"/>
  <c r="M140" i="4"/>
  <c r="O140" i="4"/>
  <c r="M141" i="4"/>
  <c r="O141" i="4"/>
  <c r="M142" i="4"/>
  <c r="O142" i="4"/>
  <c r="M143" i="4"/>
  <c r="O143" i="4"/>
  <c r="M144" i="4"/>
  <c r="O144" i="4"/>
  <c r="M145" i="4"/>
  <c r="O145" i="4"/>
  <c r="M146" i="4"/>
  <c r="O146" i="4"/>
  <c r="M147" i="4"/>
  <c r="O147" i="4"/>
  <c r="M148" i="4"/>
  <c r="O148" i="4"/>
  <c r="M149" i="4"/>
  <c r="O149" i="4"/>
  <c r="M150" i="4"/>
  <c r="O150" i="4"/>
  <c r="M151" i="4"/>
  <c r="O151" i="4"/>
  <c r="M152" i="4"/>
  <c r="O152" i="4"/>
  <c r="M153" i="4"/>
  <c r="O153" i="4"/>
  <c r="M154" i="4"/>
  <c r="O154" i="4"/>
  <c r="K11" i="3"/>
  <c r="I17" i="3"/>
  <c r="L17" i="3"/>
  <c r="N17" i="3"/>
  <c r="O17" i="3" s="1"/>
  <c r="L18" i="3"/>
  <c r="N28" i="3"/>
  <c r="N29" i="3"/>
  <c r="L30" i="3"/>
  <c r="N30" i="3"/>
  <c r="L31" i="3"/>
  <c r="N31" i="3"/>
  <c r="L32" i="3"/>
  <c r="N32" i="3"/>
  <c r="L33" i="3"/>
  <c r="N33" i="3"/>
  <c r="L34" i="3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L41" i="3"/>
  <c r="N41" i="3"/>
  <c r="L42" i="3"/>
  <c r="N42" i="3"/>
  <c r="L43" i="3"/>
  <c r="N43" i="3"/>
  <c r="L44" i="3"/>
  <c r="N44" i="3"/>
  <c r="L45" i="3"/>
  <c r="N45" i="3"/>
  <c r="L46" i="3"/>
  <c r="N46" i="3"/>
  <c r="L47" i="3"/>
  <c r="N47" i="3"/>
  <c r="L48" i="3"/>
  <c r="N48" i="3"/>
  <c r="L49" i="3"/>
  <c r="N49" i="3"/>
  <c r="L50" i="3"/>
  <c r="N50" i="3"/>
  <c r="L51" i="3"/>
  <c r="N51" i="3"/>
  <c r="L52" i="3"/>
  <c r="N52" i="3"/>
  <c r="L53" i="3"/>
  <c r="N53" i="3"/>
  <c r="L54" i="3"/>
  <c r="N54" i="3"/>
  <c r="L55" i="3"/>
  <c r="N55" i="3"/>
  <c r="L56" i="3"/>
  <c r="N56" i="3"/>
  <c r="L57" i="3"/>
  <c r="N57" i="3"/>
  <c r="L58" i="3"/>
  <c r="N58" i="3"/>
  <c r="L59" i="3"/>
  <c r="N59" i="3"/>
  <c r="L60" i="3"/>
  <c r="N60" i="3"/>
  <c r="L61" i="3"/>
  <c r="N61" i="3"/>
  <c r="L62" i="3"/>
  <c r="N62" i="3"/>
  <c r="L63" i="3"/>
  <c r="N63" i="3"/>
  <c r="L64" i="3"/>
  <c r="N64" i="3"/>
  <c r="L65" i="3"/>
  <c r="N65" i="3"/>
  <c r="L66" i="3"/>
  <c r="N66" i="3"/>
  <c r="L67" i="3"/>
  <c r="N67" i="3"/>
  <c r="L68" i="3"/>
  <c r="N68" i="3"/>
  <c r="L69" i="3"/>
  <c r="N69" i="3"/>
  <c r="L70" i="3"/>
  <c r="N70" i="3"/>
  <c r="L71" i="3"/>
  <c r="N71" i="3"/>
  <c r="L72" i="3"/>
  <c r="N72" i="3"/>
  <c r="D89" i="3"/>
  <c r="D91" i="3"/>
  <c r="J93" i="3"/>
  <c r="L93" i="3"/>
  <c r="D96" i="3"/>
  <c r="J99" i="3"/>
  <c r="M99" i="3"/>
  <c r="P99" i="3" s="1"/>
  <c r="O99" i="3"/>
  <c r="J100" i="3"/>
  <c r="M100" i="3"/>
  <c r="O100" i="3"/>
  <c r="M101" i="3"/>
  <c r="O101" i="3"/>
  <c r="P101" i="3" s="1"/>
  <c r="O109" i="3"/>
  <c r="O110" i="3"/>
  <c r="M111" i="3"/>
  <c r="O111" i="3"/>
  <c r="M112" i="3"/>
  <c r="O112" i="3"/>
  <c r="M113" i="3"/>
  <c r="O113" i="3"/>
  <c r="M114" i="3"/>
  <c r="O114" i="3"/>
  <c r="M115" i="3"/>
  <c r="O115" i="3"/>
  <c r="M116" i="3"/>
  <c r="O116" i="3"/>
  <c r="M117" i="3"/>
  <c r="O117" i="3"/>
  <c r="M118" i="3"/>
  <c r="O118" i="3"/>
  <c r="M119" i="3"/>
  <c r="O119" i="3"/>
  <c r="M120" i="3"/>
  <c r="O120" i="3"/>
  <c r="M121" i="3"/>
  <c r="O121" i="3"/>
  <c r="M122" i="3"/>
  <c r="O122" i="3"/>
  <c r="M123" i="3"/>
  <c r="O123" i="3"/>
  <c r="M124" i="3"/>
  <c r="O124" i="3"/>
  <c r="M125" i="3"/>
  <c r="O125" i="3"/>
  <c r="M126" i="3"/>
  <c r="O126" i="3"/>
  <c r="M127" i="3"/>
  <c r="O127" i="3"/>
  <c r="M128" i="3"/>
  <c r="O128" i="3"/>
  <c r="M129" i="3"/>
  <c r="O129" i="3"/>
  <c r="M130" i="3"/>
  <c r="O130" i="3"/>
  <c r="M131" i="3"/>
  <c r="O131" i="3"/>
  <c r="M132" i="3"/>
  <c r="O132" i="3"/>
  <c r="M133" i="3"/>
  <c r="O133" i="3"/>
  <c r="M134" i="3"/>
  <c r="O134" i="3"/>
  <c r="M135" i="3"/>
  <c r="O135" i="3"/>
  <c r="M136" i="3"/>
  <c r="O136" i="3"/>
  <c r="M137" i="3"/>
  <c r="O137" i="3"/>
  <c r="M138" i="3"/>
  <c r="O138" i="3"/>
  <c r="M139" i="3"/>
  <c r="O139" i="3"/>
  <c r="M140" i="3"/>
  <c r="O140" i="3"/>
  <c r="M141" i="3"/>
  <c r="O141" i="3"/>
  <c r="M142" i="3"/>
  <c r="O142" i="3"/>
  <c r="M143" i="3"/>
  <c r="O143" i="3"/>
  <c r="M144" i="3"/>
  <c r="O144" i="3"/>
  <c r="M145" i="3"/>
  <c r="O145" i="3"/>
  <c r="M146" i="3"/>
  <c r="O146" i="3"/>
  <c r="M147" i="3"/>
  <c r="O147" i="3"/>
  <c r="M148" i="3"/>
  <c r="O148" i="3"/>
  <c r="M149" i="3"/>
  <c r="O149" i="3"/>
  <c r="M150" i="3"/>
  <c r="O150" i="3"/>
  <c r="M151" i="3"/>
  <c r="O151" i="3"/>
  <c r="M152" i="3"/>
  <c r="O152" i="3"/>
  <c r="M153" i="3"/>
  <c r="O153" i="3"/>
  <c r="M154" i="3"/>
  <c r="O154" i="3"/>
  <c r="F12" i="2"/>
  <c r="F14" i="2" s="1"/>
  <c r="E19" i="2" s="1"/>
  <c r="D17" i="2"/>
  <c r="E17" i="2"/>
  <c r="D18" i="2"/>
  <c r="E18" i="2"/>
  <c r="D19" i="2"/>
  <c r="C24" i="2"/>
  <c r="E24" i="2"/>
  <c r="C31" i="2"/>
  <c r="E31" i="2"/>
  <c r="E34" i="2"/>
  <c r="C40" i="2"/>
  <c r="C44" i="2"/>
  <c r="F44" i="2"/>
  <c r="C45" i="2"/>
  <c r="F45" i="2"/>
  <c r="C46" i="2"/>
  <c r="F46" i="2"/>
  <c r="C47" i="2"/>
  <c r="F47" i="2"/>
  <c r="C52" i="2"/>
  <c r="F64" i="2"/>
  <c r="C58" i="2"/>
  <c r="F58" i="2"/>
  <c r="C64" i="2"/>
  <c r="C75" i="2"/>
  <c r="F75" i="2"/>
  <c r="C81" i="2"/>
  <c r="C90" i="2"/>
  <c r="D17" i="1"/>
  <c r="E18" i="1"/>
  <c r="E24" i="1"/>
  <c r="E31" i="1"/>
  <c r="E34" i="1"/>
  <c r="C40" i="1"/>
  <c r="C44" i="1"/>
  <c r="F44" i="1"/>
  <c r="F45" i="1"/>
  <c r="F46" i="1"/>
  <c r="F47" i="1"/>
  <c r="C52" i="1"/>
  <c r="F64" i="1"/>
  <c r="F58" i="1"/>
  <c r="F75" i="1"/>
  <c r="C89" i="1"/>
  <c r="C90" i="1"/>
  <c r="S132" i="1"/>
  <c r="S133" i="1"/>
  <c r="S134" i="1"/>
  <c r="I20" i="6"/>
  <c r="I19" i="6"/>
  <c r="B21" i="8"/>
  <c r="B21" i="6"/>
  <c r="B19" i="22"/>
  <c r="B23" i="7"/>
  <c r="B21" i="5"/>
  <c r="B21" i="4"/>
  <c r="I21" i="8"/>
  <c r="B20" i="3"/>
  <c r="I20" i="5"/>
  <c r="B23" i="11"/>
  <c r="I23" i="10"/>
  <c r="I19" i="22"/>
  <c r="I22" i="11"/>
  <c r="B22" i="8"/>
  <c r="I18" i="23"/>
  <c r="B20" i="22"/>
  <c r="I23" i="7"/>
  <c r="I17" i="25"/>
  <c r="B24" i="7"/>
  <c r="I20" i="4"/>
  <c r="B22" i="6"/>
  <c r="I20" i="3"/>
  <c r="I22" i="9"/>
  <c r="I17" i="24"/>
  <c r="B100" i="23"/>
  <c r="I21" i="6"/>
  <c r="B105" i="7"/>
  <c r="B101" i="22"/>
  <c r="B103" i="8"/>
  <c r="B103" i="6"/>
  <c r="B105" i="10"/>
  <c r="B102" i="4"/>
  <c r="J104" i="7"/>
  <c r="J99" i="23"/>
  <c r="J103" i="11"/>
  <c r="J103" i="9"/>
  <c r="J104" i="10"/>
  <c r="J101" i="3"/>
  <c r="J101" i="4"/>
  <c r="J102" i="6"/>
  <c r="J100" i="22"/>
  <c r="J102" i="8"/>
  <c r="J101" i="5"/>
  <c r="B18" i="25"/>
  <c r="P99" i="23"/>
  <c r="P100" i="22"/>
  <c r="B104" i="11"/>
  <c r="P104" i="10"/>
  <c r="B24" i="10"/>
  <c r="B104" i="9"/>
  <c r="B23" i="9"/>
  <c r="B102" i="5"/>
  <c r="O20" i="4"/>
  <c r="B102" i="3"/>
  <c r="B21" i="3"/>
  <c r="B19" i="25"/>
  <c r="B20" i="25"/>
  <c r="I18" i="25"/>
  <c r="C99" i="27"/>
  <c r="C100" i="27" s="1"/>
  <c r="C101" i="27" s="1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4" i="27" s="1"/>
  <c r="C125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4" i="27" s="1"/>
  <c r="C145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B24" i="11"/>
  <c r="B21" i="22"/>
  <c r="B102" i="25"/>
  <c r="B25" i="7"/>
  <c r="B23" i="6"/>
  <c r="B22" i="3"/>
  <c r="B22" i="4"/>
  <c r="B103" i="4"/>
  <c r="B105" i="9"/>
  <c r="B106" i="7"/>
  <c r="B102" i="22"/>
  <c r="B103" i="3"/>
  <c r="B101" i="23"/>
  <c r="B105" i="11"/>
  <c r="B104" i="8"/>
  <c r="B106" i="10"/>
  <c r="B103" i="5"/>
  <c r="B21" i="25"/>
  <c r="B18" i="27"/>
  <c r="I18" i="24"/>
  <c r="B19" i="24"/>
  <c r="K18" i="24"/>
  <c r="L18" i="24" s="1"/>
  <c r="B18" i="24"/>
  <c r="P102" i="5"/>
  <c r="C100" i="28"/>
  <c r="C101" i="28" s="1"/>
  <c r="C102" i="28" s="1"/>
  <c r="C103" i="28" s="1"/>
  <c r="C104" i="28" s="1"/>
  <c r="C105" i="28" s="1"/>
  <c r="C106" i="28" s="1"/>
  <c r="C107" i="28" s="1"/>
  <c r="C108" i="28" s="1"/>
  <c r="C109" i="28" s="1"/>
  <c r="C110" i="28" s="1"/>
  <c r="C111" i="28" s="1"/>
  <c r="C112" i="28" s="1"/>
  <c r="C113" i="28" s="1"/>
  <c r="C114" i="28" s="1"/>
  <c r="C115" i="28" s="1"/>
  <c r="C116" i="28" s="1"/>
  <c r="C117" i="28" s="1"/>
  <c r="C118" i="28" s="1"/>
  <c r="C119" i="28" s="1"/>
  <c r="C120" i="28" s="1"/>
  <c r="C121" i="28" s="1"/>
  <c r="C122" i="28" s="1"/>
  <c r="C123" i="28" s="1"/>
  <c r="C124" i="28" s="1"/>
  <c r="C125" i="28" s="1"/>
  <c r="C126" i="28" s="1"/>
  <c r="C127" i="28" s="1"/>
  <c r="C128" i="28" s="1"/>
  <c r="C129" i="28" s="1"/>
  <c r="C130" i="28" s="1"/>
  <c r="C131" i="28" s="1"/>
  <c r="C132" i="28" s="1"/>
  <c r="C133" i="28" s="1"/>
  <c r="C134" i="28" s="1"/>
  <c r="C135" i="28" s="1"/>
  <c r="C136" i="28" s="1"/>
  <c r="C137" i="28" s="1"/>
  <c r="C138" i="28" s="1"/>
  <c r="C139" i="28" s="1"/>
  <c r="C140" i="28" s="1"/>
  <c r="C141" i="28" s="1"/>
  <c r="C142" i="28" s="1"/>
  <c r="C143" i="28" s="1"/>
  <c r="C144" i="28" s="1"/>
  <c r="C145" i="28" s="1"/>
  <c r="C146" i="28" s="1"/>
  <c r="C147" i="28" s="1"/>
  <c r="C148" i="28" s="1"/>
  <c r="C149" i="28" s="1"/>
  <c r="C150" i="28" s="1"/>
  <c r="C151" i="28" s="1"/>
  <c r="C152" i="28" s="1"/>
  <c r="C153" i="28" s="1"/>
  <c r="C154" i="28" s="1"/>
  <c r="C99" i="24"/>
  <c r="P101" i="22"/>
  <c r="P104" i="11"/>
  <c r="P105" i="10"/>
  <c r="O24" i="10"/>
  <c r="B25" i="10"/>
  <c r="B24" i="9"/>
  <c r="P103" i="8"/>
  <c r="B23" i="8"/>
  <c r="B104" i="6"/>
  <c r="O22" i="6"/>
  <c r="B22" i="5"/>
  <c r="M18" i="24"/>
  <c r="N18" i="24" s="1"/>
  <c r="B100" i="24"/>
  <c r="N99" i="24"/>
  <c r="O99" i="24" s="1"/>
  <c r="L99" i="24"/>
  <c r="M99" i="24"/>
  <c r="J99" i="24"/>
  <c r="D8" i="23"/>
  <c r="D90" i="23" s="1"/>
  <c r="B20" i="23"/>
  <c r="B23" i="5"/>
  <c r="B18" i="29"/>
  <c r="B18" i="28"/>
  <c r="B106" i="9"/>
  <c r="B103" i="22"/>
  <c r="B104" i="3"/>
  <c r="B105" i="6"/>
  <c r="B106" i="11"/>
  <c r="B104" i="5"/>
  <c r="B21" i="23"/>
  <c r="B22" i="25"/>
  <c r="B20" i="24"/>
  <c r="B23" i="3"/>
  <c r="B101" i="24"/>
  <c r="B103" i="25"/>
  <c r="B105" i="8"/>
  <c r="B23" i="4"/>
  <c r="B25" i="11"/>
  <c r="B25" i="9"/>
  <c r="B102" i="23"/>
  <c r="B22" i="22"/>
  <c r="N24" i="11"/>
  <c r="O24" i="11" s="1"/>
  <c r="B107" i="10"/>
  <c r="B26" i="10"/>
  <c r="B24" i="8"/>
  <c r="B107" i="7"/>
  <c r="B26" i="7"/>
  <c r="B24" i="6"/>
  <c r="B104" i="4"/>
  <c r="C54" i="31"/>
  <c r="C55" i="31" s="1"/>
  <c r="C56" i="31" s="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B18" i="31"/>
  <c r="B19" i="28"/>
  <c r="B25" i="6"/>
  <c r="B23" i="25"/>
  <c r="B22" i="23"/>
  <c r="B23" i="22"/>
  <c r="B102" i="24"/>
  <c r="B105" i="4"/>
  <c r="B104" i="25"/>
  <c r="B106" i="8"/>
  <c r="B105" i="5"/>
  <c r="B104" i="22"/>
  <c r="B26" i="11"/>
  <c r="B21" i="24"/>
  <c r="B25" i="8"/>
  <c r="B24" i="3"/>
  <c r="B27" i="10"/>
  <c r="B24" i="5"/>
  <c r="B107" i="11"/>
  <c r="B107" i="9"/>
  <c r="B108" i="7"/>
  <c r="B19" i="31"/>
  <c r="O18" i="31"/>
  <c r="P99" i="29"/>
  <c r="B100" i="29"/>
  <c r="B19" i="29"/>
  <c r="O18" i="28"/>
  <c r="O22" i="25"/>
  <c r="P101" i="24"/>
  <c r="O21" i="23"/>
  <c r="P102" i="23"/>
  <c r="P103" i="22"/>
  <c r="O22" i="22"/>
  <c r="P106" i="11"/>
  <c r="O25" i="11"/>
  <c r="B108" i="10"/>
  <c r="P107" i="10"/>
  <c r="O26" i="10"/>
  <c r="O25" i="9"/>
  <c r="B26" i="9"/>
  <c r="P105" i="8"/>
  <c r="P107" i="7"/>
  <c r="O26" i="7"/>
  <c r="B27" i="7"/>
  <c r="P105" i="6"/>
  <c r="B106" i="6"/>
  <c r="O24" i="6"/>
  <c r="P104" i="5"/>
  <c r="O23" i="5"/>
  <c r="P104" i="4"/>
  <c r="O23" i="4"/>
  <c r="B24" i="4"/>
  <c r="B105" i="3"/>
  <c r="K18" i="27"/>
  <c r="B103" i="23"/>
  <c r="B100" i="27"/>
  <c r="B19" i="27"/>
  <c r="L18" i="27"/>
  <c r="I18" i="27"/>
  <c r="M18" i="27"/>
  <c r="N18" i="27" s="1"/>
  <c r="O18" i="27" s="1"/>
  <c r="I19" i="27"/>
  <c r="B101" i="27"/>
  <c r="J100" i="27"/>
  <c r="B100" i="28"/>
  <c r="B18" i="30"/>
  <c r="P99" i="31"/>
  <c r="B100" i="31"/>
  <c r="B106" i="4"/>
  <c r="J105" i="4"/>
  <c r="B107" i="6"/>
  <c r="J106" i="6"/>
  <c r="B106" i="5"/>
  <c r="B102" i="27"/>
  <c r="B101" i="28"/>
  <c r="B104" i="23"/>
  <c r="B100" i="30"/>
  <c r="B106" i="3"/>
  <c r="B101" i="31"/>
  <c r="B105" i="25"/>
  <c r="B25" i="5"/>
  <c r="B24" i="22"/>
  <c r="B20" i="31"/>
  <c r="B20" i="27"/>
  <c r="B25" i="4"/>
  <c r="B20" i="29"/>
  <c r="B19" i="30"/>
  <c r="B27" i="9"/>
  <c r="B25" i="3"/>
  <c r="B23" i="23"/>
  <c r="J101" i="27"/>
  <c r="B105" i="22"/>
  <c r="J105" i="5"/>
  <c r="J108" i="10"/>
  <c r="B107" i="8"/>
  <c r="J100" i="28"/>
  <c r="B109" i="7"/>
  <c r="J105" i="3"/>
  <c r="I18" i="30"/>
  <c r="I27" i="7"/>
  <c r="I26" i="9"/>
  <c r="B27" i="11"/>
  <c r="B26" i="8"/>
  <c r="I23" i="22"/>
  <c r="B22" i="24"/>
  <c r="I24" i="5"/>
  <c r="I23" i="25"/>
  <c r="I19" i="28"/>
  <c r="B26" i="6"/>
  <c r="I22" i="23"/>
  <c r="I24" i="3"/>
  <c r="I26" i="11"/>
  <c r="I25" i="8"/>
  <c r="I19" i="29"/>
  <c r="I24" i="4"/>
  <c r="I27" i="10"/>
  <c r="I19" i="31"/>
  <c r="I21" i="24"/>
  <c r="I25" i="6"/>
  <c r="J102" i="24"/>
  <c r="J106" i="8"/>
  <c r="J104" i="22"/>
  <c r="J100" i="29"/>
  <c r="J104" i="25"/>
  <c r="J108" i="7"/>
  <c r="J107" i="9"/>
  <c r="J100" i="31"/>
  <c r="J99" i="30"/>
  <c r="J107" i="11"/>
  <c r="J103" i="23"/>
  <c r="I20" i="27"/>
  <c r="B101" i="29"/>
  <c r="B108" i="9"/>
  <c r="B24" i="25"/>
  <c r="B20" i="28"/>
  <c r="B103" i="24"/>
  <c r="B108" i="11"/>
  <c r="B109" i="10"/>
  <c r="B28" i="10"/>
  <c r="L24" i="8"/>
  <c r="O24" i="8"/>
  <c r="B28" i="7"/>
  <c r="P99" i="30"/>
  <c r="C99" i="13"/>
  <c r="C100" i="13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D18" i="1"/>
  <c r="F18" i="1" s="1"/>
  <c r="C12" i="1"/>
  <c r="D19" i="1"/>
  <c r="B29" i="10"/>
  <c r="I24" i="25"/>
  <c r="I12" i="40"/>
  <c r="I13" i="40" s="1"/>
  <c r="B27" i="6"/>
  <c r="B20" i="30"/>
  <c r="B21" i="27"/>
  <c r="I17" i="39"/>
  <c r="B21" i="29"/>
  <c r="I27" i="9"/>
  <c r="B23" i="24"/>
  <c r="I22" i="24"/>
  <c r="B28" i="9"/>
  <c r="I23" i="23"/>
  <c r="B21" i="28"/>
  <c r="I20" i="28"/>
  <c r="I26" i="8"/>
  <c r="B24" i="23"/>
  <c r="I19" i="30"/>
  <c r="I26" i="6"/>
  <c r="I24" i="22"/>
  <c r="I28" i="10"/>
  <c r="I21" i="27"/>
  <c r="I20" i="29"/>
  <c r="B27" i="8"/>
  <c r="B102" i="29"/>
  <c r="B29" i="7"/>
  <c r="B26" i="4"/>
  <c r="I25" i="3"/>
  <c r="I27" i="11"/>
  <c r="B26" i="3"/>
  <c r="I25" i="4"/>
  <c r="I17" i="37"/>
  <c r="I28" i="7"/>
  <c r="B26" i="5"/>
  <c r="I25" i="5"/>
  <c r="J102" i="27"/>
  <c r="B107" i="3"/>
  <c r="B106" i="25"/>
  <c r="J105" i="25"/>
  <c r="J101" i="29"/>
  <c r="B106" i="22"/>
  <c r="B108" i="8"/>
  <c r="J106" i="3"/>
  <c r="J100" i="30"/>
  <c r="B107" i="4"/>
  <c r="J108" i="9"/>
  <c r="B110" i="10"/>
  <c r="B109" i="11"/>
  <c r="B104" i="24"/>
  <c r="B105" i="23"/>
  <c r="B102" i="28"/>
  <c r="J109" i="10"/>
  <c r="J104" i="23"/>
  <c r="J108" i="11"/>
  <c r="J106" i="4"/>
  <c r="J105" i="22"/>
  <c r="J107" i="8"/>
  <c r="J107" i="6"/>
  <c r="J101" i="28"/>
  <c r="J103" i="24"/>
  <c r="C18" i="13"/>
  <c r="C19" i="13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18" i="41"/>
  <c r="C19" i="41" s="1"/>
  <c r="C20" i="41" s="1"/>
  <c r="C21" i="41" s="1"/>
  <c r="C22" i="41" s="1"/>
  <c r="C23" i="41" s="1"/>
  <c r="C24" i="41" s="1"/>
  <c r="C25" i="41" s="1"/>
  <c r="C26" i="41" s="1"/>
  <c r="C27" i="41" s="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B18" i="39"/>
  <c r="B18" i="37"/>
  <c r="P100" i="30"/>
  <c r="B103" i="27"/>
  <c r="B25" i="25"/>
  <c r="O24" i="25"/>
  <c r="B25" i="22"/>
  <c r="B28" i="11"/>
  <c r="B109" i="9"/>
  <c r="B107" i="5"/>
  <c r="A2" i="2"/>
  <c r="I10" i="7"/>
  <c r="I10" i="25"/>
  <c r="D93" i="25" s="1"/>
  <c r="C99" i="25" s="1"/>
  <c r="C100" i="25" s="1"/>
  <c r="C101" i="25" s="1"/>
  <c r="C102" i="25" s="1"/>
  <c r="C103" i="25" s="1"/>
  <c r="C104" i="25" s="1"/>
  <c r="C105" i="25" s="1"/>
  <c r="C106" i="25" s="1"/>
  <c r="C107" i="25" s="1"/>
  <c r="C108" i="25" s="1"/>
  <c r="C109" i="25" s="1"/>
  <c r="C110" i="25" s="1"/>
  <c r="C111" i="25" s="1"/>
  <c r="C112" i="25" s="1"/>
  <c r="C113" i="25" s="1"/>
  <c r="C114" i="25" s="1"/>
  <c r="C115" i="25" s="1"/>
  <c r="C116" i="25" s="1"/>
  <c r="C117" i="25" s="1"/>
  <c r="C118" i="25" s="1"/>
  <c r="C119" i="25" s="1"/>
  <c r="C120" i="25" s="1"/>
  <c r="C121" i="25" s="1"/>
  <c r="C122" i="25" s="1"/>
  <c r="C123" i="25" s="1"/>
  <c r="C124" i="25" s="1"/>
  <c r="C125" i="25" s="1"/>
  <c r="C126" i="25" s="1"/>
  <c r="C127" i="25" s="1"/>
  <c r="C128" i="25" s="1"/>
  <c r="C129" i="25" s="1"/>
  <c r="C130" i="25" s="1"/>
  <c r="C131" i="25" s="1"/>
  <c r="C132" i="25" s="1"/>
  <c r="C133" i="25" s="1"/>
  <c r="C134" i="25" s="1"/>
  <c r="C135" i="25" s="1"/>
  <c r="C136" i="25" s="1"/>
  <c r="C137" i="25" s="1"/>
  <c r="C138" i="25" s="1"/>
  <c r="C139" i="25" s="1"/>
  <c r="C140" i="25" s="1"/>
  <c r="C141" i="25" s="1"/>
  <c r="C142" i="25" s="1"/>
  <c r="C143" i="25" s="1"/>
  <c r="C144" i="25" s="1"/>
  <c r="C145" i="25" s="1"/>
  <c r="C146" i="25" s="1"/>
  <c r="C147" i="25" s="1"/>
  <c r="C148" i="25" s="1"/>
  <c r="C149" i="25" s="1"/>
  <c r="C150" i="25" s="1"/>
  <c r="C151" i="25" s="1"/>
  <c r="C152" i="25" s="1"/>
  <c r="C153" i="25" s="1"/>
  <c r="C154" i="25" s="1"/>
  <c r="I10" i="31"/>
  <c r="D94" i="31" s="1"/>
  <c r="C18" i="42"/>
  <c r="C19" i="42" s="1"/>
  <c r="C20" i="42" s="1"/>
  <c r="C21" i="42" s="1"/>
  <c r="C22" i="42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 s="1"/>
  <c r="C39" i="42" s="1"/>
  <c r="C40" i="42" s="1"/>
  <c r="C41" i="42" s="1"/>
  <c r="C42" i="42" s="1"/>
  <c r="C43" i="42" s="1"/>
  <c r="C44" i="42" s="1"/>
  <c r="C100" i="42"/>
  <c r="C101" i="42"/>
  <c r="C102" i="42" s="1"/>
  <c r="C103" i="42" s="1"/>
  <c r="C104" i="42" s="1"/>
  <c r="C105" i="42"/>
  <c r="C106" i="42" s="1"/>
  <c r="C107" i="42" s="1"/>
  <c r="C108" i="42" s="1"/>
  <c r="C109" i="42" s="1"/>
  <c r="C110" i="42" s="1"/>
  <c r="C111" i="42" s="1"/>
  <c r="C112" i="42" s="1"/>
  <c r="C113" i="42" s="1"/>
  <c r="C114" i="42" s="1"/>
  <c r="C115" i="42" s="1"/>
  <c r="C116" i="42" s="1"/>
  <c r="C117" i="42" s="1"/>
  <c r="C118" i="42" s="1"/>
  <c r="C119" i="42" s="1"/>
  <c r="C120" i="42" s="1"/>
  <c r="C121" i="42" s="1"/>
  <c r="C122" i="42" s="1"/>
  <c r="C123" i="42" s="1"/>
  <c r="C124" i="42" s="1"/>
  <c r="C125" i="42" s="1"/>
  <c r="C126" i="42" s="1"/>
  <c r="C127" i="42" s="1"/>
  <c r="C128" i="42" s="1"/>
  <c r="C129" i="42" s="1"/>
  <c r="C130" i="42" s="1"/>
  <c r="C131" i="42" s="1"/>
  <c r="C132" i="42" s="1"/>
  <c r="C133" i="42" s="1"/>
  <c r="C134" i="42" s="1"/>
  <c r="C135" i="42" s="1"/>
  <c r="C136" i="42" s="1"/>
  <c r="C137" i="42" s="1"/>
  <c r="C138" i="42" s="1"/>
  <c r="C139" i="42" s="1"/>
  <c r="C140" i="42" s="1"/>
  <c r="C141" i="42" s="1"/>
  <c r="C142" i="42" s="1"/>
  <c r="C143" i="42" s="1"/>
  <c r="C144" i="42" s="1"/>
  <c r="C145" i="42" s="1"/>
  <c r="C146" i="42" s="1"/>
  <c r="C147" i="42" s="1"/>
  <c r="C148" i="42" s="1"/>
  <c r="C149" i="42" s="1"/>
  <c r="C150" i="42" s="1"/>
  <c r="C151" i="42" s="1"/>
  <c r="C152" i="42" s="1"/>
  <c r="C153" i="42" s="1"/>
  <c r="C154" i="42" s="1"/>
  <c r="C100" i="41"/>
  <c r="C101" i="41" s="1"/>
  <c r="C102" i="41" s="1"/>
  <c r="C103" i="41" s="1"/>
  <c r="C104" i="41" s="1"/>
  <c r="C105" i="41" s="1"/>
  <c r="C106" i="41" s="1"/>
  <c r="C107" i="41" s="1"/>
  <c r="C108" i="41" s="1"/>
  <c r="C109" i="41" s="1"/>
  <c r="C110" i="41" s="1"/>
  <c r="C111" i="41" s="1"/>
  <c r="C112" i="41" s="1"/>
  <c r="C113" i="41" s="1"/>
  <c r="C114" i="41" s="1"/>
  <c r="C115" i="41" s="1"/>
  <c r="C116" i="41" s="1"/>
  <c r="C117" i="41" s="1"/>
  <c r="C118" i="41" s="1"/>
  <c r="C119" i="41" s="1"/>
  <c r="C120" i="41" s="1"/>
  <c r="C121" i="41" s="1"/>
  <c r="C122" i="41" s="1"/>
  <c r="C123" i="41" s="1"/>
  <c r="C124" i="41" s="1"/>
  <c r="C125" i="41" s="1"/>
  <c r="C126" i="41" s="1"/>
  <c r="C127" i="41" s="1"/>
  <c r="C128" i="41" s="1"/>
  <c r="C129" i="41" s="1"/>
  <c r="C130" i="41" s="1"/>
  <c r="C131" i="41" s="1"/>
  <c r="C132" i="41" s="1"/>
  <c r="C133" i="41" s="1"/>
  <c r="C134" i="41" s="1"/>
  <c r="C135" i="41" s="1"/>
  <c r="C136" i="41" s="1"/>
  <c r="C137" i="41" s="1"/>
  <c r="C138" i="41" s="1"/>
  <c r="C139" i="41" s="1"/>
  <c r="C140" i="41" s="1"/>
  <c r="C141" i="41" s="1"/>
  <c r="C142" i="41" s="1"/>
  <c r="C143" i="41" s="1"/>
  <c r="C144" i="41" s="1"/>
  <c r="C145" i="41" s="1"/>
  <c r="C146" i="41" s="1"/>
  <c r="C147" i="41" s="1"/>
  <c r="C148" i="41" s="1"/>
  <c r="C149" i="41" s="1"/>
  <c r="C150" i="41" s="1"/>
  <c r="C151" i="41" s="1"/>
  <c r="C152" i="41" s="1"/>
  <c r="C153" i="41" s="1"/>
  <c r="C154" i="41" s="1"/>
  <c r="B110" i="7"/>
  <c r="J109" i="7"/>
  <c r="J106" i="5"/>
  <c r="C99" i="40"/>
  <c r="C100" i="40" s="1"/>
  <c r="C101" i="40" s="1"/>
  <c r="C102" i="40" s="1"/>
  <c r="C103" i="40" s="1"/>
  <c r="C104" i="40" s="1"/>
  <c r="C105" i="40" s="1"/>
  <c r="C106" i="40" s="1"/>
  <c r="C107" i="40" s="1"/>
  <c r="C108" i="40" s="1"/>
  <c r="C109" i="40" s="1"/>
  <c r="C110" i="40" s="1"/>
  <c r="C111" i="40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/>
  <c r="C128" i="40" s="1"/>
  <c r="C129" i="40" s="1"/>
  <c r="C130" i="40" s="1"/>
  <c r="C131" i="40" s="1"/>
  <c r="C132" i="40" s="1"/>
  <c r="C133" i="40" s="1"/>
  <c r="C134" i="40" s="1"/>
  <c r="C135" i="40" s="1"/>
  <c r="C136" i="40" s="1"/>
  <c r="C137" i="40" s="1"/>
  <c r="C138" i="40" s="1"/>
  <c r="C139" i="40" s="1"/>
  <c r="C140" i="40" s="1"/>
  <c r="C141" i="40" s="1"/>
  <c r="C142" i="40" s="1"/>
  <c r="C143" i="40" s="1"/>
  <c r="C144" i="40" s="1"/>
  <c r="C145" i="40" s="1"/>
  <c r="C146" i="40" s="1"/>
  <c r="C147" i="40" s="1"/>
  <c r="C148" i="40" s="1"/>
  <c r="C149" i="40" s="1"/>
  <c r="C150" i="40" s="1"/>
  <c r="C151" i="40" s="1"/>
  <c r="C152" i="40" s="1"/>
  <c r="C153" i="40" s="1"/>
  <c r="C154" i="40" s="1"/>
  <c r="I10" i="40"/>
  <c r="I10" i="27"/>
  <c r="I10" i="8"/>
  <c r="I10" i="41"/>
  <c r="I10" i="22"/>
  <c r="D94" i="22" s="1"/>
  <c r="I10" i="6"/>
  <c r="D93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I10" i="37"/>
  <c r="D93" i="37" s="1"/>
  <c r="C99" i="37" s="1"/>
  <c r="C100" i="37" s="1"/>
  <c r="C101" i="37" s="1"/>
  <c r="C102" i="37" s="1"/>
  <c r="C103" i="37" s="1"/>
  <c r="C104" i="37" s="1"/>
  <c r="I10" i="28"/>
  <c r="I10" i="39"/>
  <c r="D93" i="39" s="1"/>
  <c r="C99" i="39" s="1"/>
  <c r="C100" i="39" s="1"/>
  <c r="C101" i="39" s="1"/>
  <c r="C102" i="39" s="1"/>
  <c r="C103" i="39" s="1"/>
  <c r="C104" i="39" s="1"/>
  <c r="C105" i="39" s="1"/>
  <c r="C106" i="39" s="1"/>
  <c r="C107" i="39" s="1"/>
  <c r="C108" i="39" s="1"/>
  <c r="C109" i="39" s="1"/>
  <c r="C110" i="39" s="1"/>
  <c r="C111" i="39" s="1"/>
  <c r="C112" i="39" s="1"/>
  <c r="C113" i="39" s="1"/>
  <c r="C114" i="39" s="1"/>
  <c r="C115" i="39" s="1"/>
  <c r="C116" i="39" s="1"/>
  <c r="C117" i="39" s="1"/>
  <c r="C118" i="39" s="1"/>
  <c r="C119" i="39" s="1"/>
  <c r="C120" i="39" s="1"/>
  <c r="C121" i="39" s="1"/>
  <c r="C122" i="39" s="1"/>
  <c r="C123" i="39" s="1"/>
  <c r="C124" i="39" s="1"/>
  <c r="C125" i="39" s="1"/>
  <c r="C126" i="39" s="1"/>
  <c r="C127" i="39" s="1"/>
  <c r="C128" i="39" s="1"/>
  <c r="C129" i="39" s="1"/>
  <c r="C130" i="39" s="1"/>
  <c r="C131" i="39" s="1"/>
  <c r="C132" i="39" s="1"/>
  <c r="C133" i="39" s="1"/>
  <c r="C134" i="39" s="1"/>
  <c r="C135" i="39" s="1"/>
  <c r="C136" i="39" s="1"/>
  <c r="C137" i="39" s="1"/>
  <c r="C138" i="39" s="1"/>
  <c r="C139" i="39" s="1"/>
  <c r="C140" i="39" s="1"/>
  <c r="C141" i="39" s="1"/>
  <c r="C142" i="39" s="1"/>
  <c r="C143" i="39" s="1"/>
  <c r="C144" i="39" s="1"/>
  <c r="C145" i="39" s="1"/>
  <c r="C146" i="39" s="1"/>
  <c r="C147" i="39" s="1"/>
  <c r="C148" i="39" s="1"/>
  <c r="C149" i="39" s="1"/>
  <c r="C150" i="39" s="1"/>
  <c r="C151" i="39" s="1"/>
  <c r="C152" i="39" s="1"/>
  <c r="C153" i="39" s="1"/>
  <c r="C154" i="39" s="1"/>
  <c r="I10" i="3"/>
  <c r="D94" i="3" s="1"/>
  <c r="I10" i="10"/>
  <c r="D94" i="10" s="1"/>
  <c r="I10" i="23"/>
  <c r="D93" i="23" s="1"/>
  <c r="I10" i="24"/>
  <c r="I10" i="5"/>
  <c r="D93" i="5" s="1"/>
  <c r="I10" i="11"/>
  <c r="D93" i="11" s="1"/>
  <c r="I10" i="42"/>
  <c r="I10" i="4"/>
  <c r="D93" i="4" s="1"/>
  <c r="I10" i="29"/>
  <c r="D94" i="29" s="1"/>
  <c r="I10" i="38"/>
  <c r="I10" i="30"/>
  <c r="D93" i="30" s="1"/>
  <c r="C99" i="30" s="1"/>
  <c r="I10" i="9"/>
  <c r="I10" i="13"/>
  <c r="D92" i="13" s="1"/>
  <c r="E99" i="13" s="1"/>
  <c r="F99" i="13" s="1"/>
  <c r="G99" i="13" s="1"/>
  <c r="B108" i="6"/>
  <c r="B21" i="31"/>
  <c r="I20" i="31"/>
  <c r="J101" i="31"/>
  <c r="B102" i="31"/>
  <c r="J92" i="41"/>
  <c r="L86" i="41" s="1"/>
  <c r="C59" i="1"/>
  <c r="C77" i="1"/>
  <c r="B109" i="6"/>
  <c r="B110" i="11"/>
  <c r="O26" i="6"/>
  <c r="L20" i="31"/>
  <c r="O20" i="31"/>
  <c r="B18" i="38"/>
  <c r="I17" i="38"/>
  <c r="I12" i="42"/>
  <c r="I13" i="42" s="1"/>
  <c r="I12" i="25"/>
  <c r="I13" i="25" s="1"/>
  <c r="I12" i="3"/>
  <c r="I13" i="3" s="1"/>
  <c r="I12" i="28"/>
  <c r="I13" i="28" s="1"/>
  <c r="I12" i="13"/>
  <c r="I13" i="13" s="1"/>
  <c r="I12" i="38"/>
  <c r="I13" i="38" s="1"/>
  <c r="B108" i="5"/>
  <c r="B107" i="22"/>
  <c r="J103" i="27"/>
  <c r="J107" i="5"/>
  <c r="J108" i="6"/>
  <c r="B28" i="6"/>
  <c r="B27" i="4"/>
  <c r="B25" i="23"/>
  <c r="B22" i="31"/>
  <c r="B26" i="25"/>
  <c r="B18" i="40"/>
  <c r="B29" i="11"/>
  <c r="B27" i="5"/>
  <c r="B22" i="29"/>
  <c r="B30" i="7"/>
  <c r="B19" i="39"/>
  <c r="B18" i="41"/>
  <c r="J106" i="22"/>
  <c r="J102" i="28"/>
  <c r="J108" i="8"/>
  <c r="I20" i="30"/>
  <c r="I21" i="31"/>
  <c r="I27" i="8"/>
  <c r="I28" i="9"/>
  <c r="I27" i="6"/>
  <c r="I29" i="10"/>
  <c r="I26" i="3"/>
  <c r="I26" i="4"/>
  <c r="I18" i="39"/>
  <c r="I29" i="7"/>
  <c r="I17" i="40"/>
  <c r="I17" i="42"/>
  <c r="I18" i="37"/>
  <c r="B29" i="9"/>
  <c r="I23" i="24"/>
  <c r="I18" i="38"/>
  <c r="I28" i="11"/>
  <c r="I25" i="25"/>
  <c r="I21" i="28"/>
  <c r="I26" i="5"/>
  <c r="I17" i="41"/>
  <c r="I21" i="29"/>
  <c r="B21" i="30"/>
  <c r="B19" i="37"/>
  <c r="I24" i="23"/>
  <c r="I25" i="22"/>
  <c r="C18" i="43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C42" i="43" s="1"/>
  <c r="C43" i="43" s="1"/>
  <c r="C44" i="43" s="1"/>
  <c r="C45" i="43" s="1"/>
  <c r="C46" i="43" s="1"/>
  <c r="C47" i="43" s="1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C58" i="43" s="1"/>
  <c r="C59" i="43" s="1"/>
  <c r="C60" i="43" s="1"/>
  <c r="C61" i="43" s="1"/>
  <c r="C62" i="43" s="1"/>
  <c r="C63" i="43" s="1"/>
  <c r="C64" i="43" s="1"/>
  <c r="C65" i="43" s="1"/>
  <c r="C66" i="43" s="1"/>
  <c r="C67" i="43" s="1"/>
  <c r="C68" i="43" s="1"/>
  <c r="C69" i="43" s="1"/>
  <c r="C70" i="43" s="1"/>
  <c r="C71" i="43" s="1"/>
  <c r="C72" i="43" s="1"/>
  <c r="C100" i="43"/>
  <c r="C101" i="43" s="1"/>
  <c r="C102" i="43" s="1"/>
  <c r="C103" i="43" s="1"/>
  <c r="C104" i="43" s="1"/>
  <c r="C105" i="43" s="1"/>
  <c r="C106" i="43" s="1"/>
  <c r="C107" i="43" s="1"/>
  <c r="C108" i="43" s="1"/>
  <c r="C109" i="43" s="1"/>
  <c r="C110" i="43" s="1"/>
  <c r="C111" i="43" s="1"/>
  <c r="C112" i="43" s="1"/>
  <c r="C113" i="43" s="1"/>
  <c r="C114" i="43" s="1"/>
  <c r="C115" i="43" s="1"/>
  <c r="C116" i="43" s="1"/>
  <c r="C117" i="43" s="1"/>
  <c r="C118" i="43" s="1"/>
  <c r="C119" i="43" s="1"/>
  <c r="C120" i="43" s="1"/>
  <c r="C121" i="43" s="1"/>
  <c r="C122" i="43" s="1"/>
  <c r="C123" i="43" s="1"/>
  <c r="C124" i="43" s="1"/>
  <c r="C125" i="43" s="1"/>
  <c r="C126" i="43" s="1"/>
  <c r="C127" i="43" s="1"/>
  <c r="C128" i="43" s="1"/>
  <c r="C129" i="43" s="1"/>
  <c r="C130" i="43" s="1"/>
  <c r="C131" i="43" s="1"/>
  <c r="C132" i="43" s="1"/>
  <c r="C133" i="43" s="1"/>
  <c r="C134" i="43" s="1"/>
  <c r="C135" i="43" s="1"/>
  <c r="C136" i="43" s="1"/>
  <c r="C137" i="43" s="1"/>
  <c r="C138" i="43" s="1"/>
  <c r="C139" i="43" s="1"/>
  <c r="C140" i="43" s="1"/>
  <c r="C141" i="43" s="1"/>
  <c r="C142" i="43" s="1"/>
  <c r="C143" i="43" s="1"/>
  <c r="C144" i="43" s="1"/>
  <c r="C145" i="43" s="1"/>
  <c r="C146" i="43" s="1"/>
  <c r="C147" i="43" s="1"/>
  <c r="C148" i="43" s="1"/>
  <c r="C149" i="43" s="1"/>
  <c r="C150" i="43" s="1"/>
  <c r="C151" i="43" s="1"/>
  <c r="C152" i="43" s="1"/>
  <c r="C153" i="43" s="1"/>
  <c r="C154" i="43" s="1"/>
  <c r="P99" i="39"/>
  <c r="B19" i="38"/>
  <c r="P99" i="37"/>
  <c r="O58" i="37"/>
  <c r="O17" i="37"/>
  <c r="O20" i="37"/>
  <c r="B103" i="28"/>
  <c r="B22" i="28"/>
  <c r="O33" i="27"/>
  <c r="B109" i="8"/>
  <c r="B27" i="3"/>
  <c r="B101" i="30"/>
  <c r="O23" i="7"/>
  <c r="B104" i="27"/>
  <c r="C45" i="4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45" i="3"/>
  <c r="C46" i="3" s="1"/>
  <c r="C47" i="3" s="1"/>
  <c r="C48" i="3" s="1"/>
  <c r="C49" i="3" s="1"/>
  <c r="C50" i="3" s="1"/>
  <c r="C51" i="3" s="1"/>
  <c r="C52" i="3" s="1"/>
  <c r="C53" i="3"/>
  <c r="C54" i="3" s="1"/>
  <c r="C55" i="3" s="1"/>
  <c r="C56" i="3" s="1"/>
  <c r="C57" i="3" s="1"/>
  <c r="C58" i="3" s="1"/>
  <c r="C59" i="3" s="1"/>
  <c r="C60" i="3" s="1"/>
  <c r="C61" i="3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P103" i="11"/>
  <c r="P101" i="11"/>
  <c r="C100" i="24"/>
  <c r="C101" i="24" s="1"/>
  <c r="C102" i="24" s="1"/>
  <c r="C103" i="24" s="1"/>
  <c r="C104" i="24" s="1"/>
  <c r="C105" i="24" s="1"/>
  <c r="C106" i="24" s="1"/>
  <c r="C107" i="24" s="1"/>
  <c r="C108" i="24" s="1"/>
  <c r="C109" i="24" s="1"/>
  <c r="C110" i="24" s="1"/>
  <c r="C111" i="24" s="1"/>
  <c r="C112" i="24" s="1"/>
  <c r="C113" i="24" s="1"/>
  <c r="C114" i="24" s="1"/>
  <c r="C115" i="24" s="1"/>
  <c r="C116" i="24" s="1"/>
  <c r="C117" i="24" s="1"/>
  <c r="C118" i="24" s="1"/>
  <c r="C119" i="24" s="1"/>
  <c r="C120" i="24" s="1"/>
  <c r="C121" i="24" s="1"/>
  <c r="C122" i="24" s="1"/>
  <c r="C123" i="24" s="1"/>
  <c r="C124" i="24" s="1"/>
  <c r="C125" i="24" s="1"/>
  <c r="C126" i="24" s="1"/>
  <c r="C127" i="24" s="1"/>
  <c r="C128" i="24" s="1"/>
  <c r="C129" i="24" s="1"/>
  <c r="C130" i="24" s="1"/>
  <c r="C131" i="24" s="1"/>
  <c r="C132" i="24" s="1"/>
  <c r="C133" i="24" s="1"/>
  <c r="C134" i="24" s="1"/>
  <c r="C135" i="24" s="1"/>
  <c r="C136" i="24" s="1"/>
  <c r="C137" i="24" s="1"/>
  <c r="C138" i="24" s="1"/>
  <c r="C139" i="24" s="1"/>
  <c r="C140" i="24" s="1"/>
  <c r="C141" i="24" s="1"/>
  <c r="C142" i="24" s="1"/>
  <c r="C143" i="24" s="1"/>
  <c r="C144" i="24" s="1"/>
  <c r="C145" i="24" s="1"/>
  <c r="C146" i="24" s="1"/>
  <c r="C147" i="24" s="1"/>
  <c r="C148" i="24" s="1"/>
  <c r="C149" i="24" s="1"/>
  <c r="C150" i="24" s="1"/>
  <c r="C151" i="24" s="1"/>
  <c r="C152" i="24" s="1"/>
  <c r="C153" i="24" s="1"/>
  <c r="C154" i="24" s="1"/>
  <c r="D99" i="24"/>
  <c r="P99" i="4"/>
  <c r="P100" i="6"/>
  <c r="P104" i="7"/>
  <c r="P99" i="7"/>
  <c r="O20" i="7"/>
  <c r="P99" i="10"/>
  <c r="O18" i="22"/>
  <c r="P99" i="5"/>
  <c r="O21" i="10"/>
  <c r="O17" i="4"/>
  <c r="P100" i="5"/>
  <c r="O19" i="7"/>
  <c r="P100" i="11"/>
  <c r="O20" i="11"/>
  <c r="O22" i="4"/>
  <c r="O23" i="6"/>
  <c r="P100" i="24"/>
  <c r="O17" i="28"/>
  <c r="O27" i="7"/>
  <c r="P102" i="10"/>
  <c r="P99" i="11"/>
  <c r="O19" i="11"/>
  <c r="P99" i="25"/>
  <c r="P100" i="25"/>
  <c r="P106" i="7"/>
  <c r="O24" i="9"/>
  <c r="O25" i="10"/>
  <c r="P99" i="27"/>
  <c r="P103" i="6"/>
  <c r="P103" i="5"/>
  <c r="P99" i="28"/>
  <c r="O24" i="4"/>
  <c r="O27" i="9"/>
  <c r="P107" i="8"/>
  <c r="O27" i="11"/>
  <c r="O23" i="23"/>
  <c r="O20" i="28"/>
  <c r="P101" i="29"/>
  <c r="P109" i="10"/>
  <c r="P105" i="22"/>
  <c r="P102" i="27"/>
  <c r="P103" i="23"/>
  <c r="O19" i="29"/>
  <c r="B111" i="10"/>
  <c r="B100" i="38"/>
  <c r="J109" i="11"/>
  <c r="B103" i="29"/>
  <c r="J102" i="29"/>
  <c r="B22" i="27"/>
  <c r="B102" i="30"/>
  <c r="J110" i="10"/>
  <c r="B100" i="39"/>
  <c r="B103" i="31"/>
  <c r="J99" i="37"/>
  <c r="B105" i="24"/>
  <c r="J99" i="38"/>
  <c r="B111" i="7"/>
  <c r="B107" i="25"/>
  <c r="B108" i="3"/>
  <c r="B108" i="4"/>
  <c r="B106" i="23"/>
  <c r="I22" i="27"/>
  <c r="B110" i="9"/>
  <c r="J99" i="39"/>
  <c r="J109" i="9"/>
  <c r="J105" i="23"/>
  <c r="J106" i="25"/>
  <c r="J110" i="7"/>
  <c r="J104" i="24"/>
  <c r="J107" i="4"/>
  <c r="J107" i="3"/>
  <c r="J102" i="31"/>
  <c r="J101" i="30"/>
  <c r="O19" i="39"/>
  <c r="C45" i="38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I10" i="44"/>
  <c r="I10" i="46"/>
  <c r="I10" i="43"/>
  <c r="F55" i="17"/>
  <c r="N55" i="17"/>
  <c r="C55" i="17"/>
  <c r="O55" i="17"/>
  <c r="D55" i="17"/>
  <c r="E55" i="17"/>
  <c r="J94" i="10" l="1"/>
  <c r="J95" i="10" s="1"/>
  <c r="J94" i="24"/>
  <c r="J95" i="24" s="1"/>
  <c r="J94" i="40"/>
  <c r="J95" i="40" s="1"/>
  <c r="J94" i="5"/>
  <c r="J95" i="5" s="1"/>
  <c r="J94" i="42"/>
  <c r="J95" i="42" s="1"/>
  <c r="J94" i="37"/>
  <c r="J95" i="37" s="1"/>
  <c r="I12" i="31"/>
  <c r="I13" i="31" s="1"/>
  <c r="I12" i="22"/>
  <c r="I13" i="22" s="1"/>
  <c r="I12" i="8"/>
  <c r="I13" i="8" s="1"/>
  <c r="I12" i="30"/>
  <c r="I13" i="30" s="1"/>
  <c r="I12" i="29"/>
  <c r="I13" i="29" s="1"/>
  <c r="O20" i="22"/>
  <c r="I13" i="47"/>
  <c r="G17" i="47"/>
  <c r="G18" i="47"/>
  <c r="G19" i="47"/>
  <c r="G20" i="47"/>
  <c r="G21" i="47"/>
  <c r="N5" i="47" s="1"/>
  <c r="G22" i="47"/>
  <c r="G23" i="47"/>
  <c r="G24" i="47"/>
  <c r="G25" i="47"/>
  <c r="G26" i="47"/>
  <c r="I12" i="27"/>
  <c r="I13" i="27" s="1"/>
  <c r="I12" i="23"/>
  <c r="I13" i="23" s="1"/>
  <c r="I12" i="5"/>
  <c r="I13" i="5" s="1"/>
  <c r="I12" i="11"/>
  <c r="I13" i="11" s="1"/>
  <c r="I12" i="10"/>
  <c r="I13" i="10" s="1"/>
  <c r="I12" i="24"/>
  <c r="I13" i="24" s="1"/>
  <c r="O18" i="5"/>
  <c r="P105" i="7"/>
  <c r="P110" i="10"/>
  <c r="P104" i="24"/>
  <c r="I12" i="39"/>
  <c r="I13" i="39" s="1"/>
  <c r="I12" i="7"/>
  <c r="I13" i="7" s="1"/>
  <c r="I12" i="41"/>
  <c r="I13" i="41" s="1"/>
  <c r="I12" i="9"/>
  <c r="I13" i="9" s="1"/>
  <c r="I12" i="6"/>
  <c r="I13" i="6" s="1"/>
  <c r="I12" i="4"/>
  <c r="I13" i="4" s="1"/>
  <c r="I12" i="37"/>
  <c r="I13" i="37" s="1"/>
  <c r="O19" i="4"/>
  <c r="P101" i="8"/>
  <c r="P99" i="8"/>
  <c r="O20" i="8"/>
  <c r="P101" i="10"/>
  <c r="O17" i="10"/>
  <c r="O31" i="22"/>
  <c r="O20" i="9"/>
  <c r="O18" i="3"/>
  <c r="O21" i="3"/>
  <c r="P104" i="8"/>
  <c r="O17" i="29"/>
  <c r="O23" i="3"/>
  <c r="O17" i="38"/>
  <c r="O54" i="40"/>
  <c r="O60" i="40"/>
  <c r="O26" i="11"/>
  <c r="O25" i="3"/>
  <c r="O25" i="4"/>
  <c r="P106" i="5"/>
  <c r="O27" i="8"/>
  <c r="O25" i="22"/>
  <c r="O23" i="24"/>
  <c r="P102" i="28"/>
  <c r="O17" i="40"/>
  <c r="P100" i="3"/>
  <c r="P101" i="6"/>
  <c r="O20" i="6"/>
  <c r="O17" i="8"/>
  <c r="O22" i="10"/>
  <c r="O18" i="10"/>
  <c r="T12" i="17"/>
  <c r="O17" i="24"/>
  <c r="P104" i="9"/>
  <c r="P103" i="4"/>
  <c r="P105" i="9"/>
  <c r="O20" i="23"/>
  <c r="P101" i="23"/>
  <c r="O17" i="31"/>
  <c r="O19" i="27"/>
  <c r="P100" i="27"/>
  <c r="P105" i="5"/>
  <c r="P106" i="6"/>
  <c r="P104" i="25"/>
  <c r="O19" i="31"/>
  <c r="O25" i="5"/>
  <c r="P108" i="9"/>
  <c r="O21" i="27"/>
  <c r="O19" i="30"/>
  <c r="P107" i="5"/>
  <c r="G27" i="47"/>
  <c r="P99" i="24"/>
  <c r="F17" i="1"/>
  <c r="P100" i="4"/>
  <c r="O17" i="5"/>
  <c r="P100" i="7"/>
  <c r="O21" i="7"/>
  <c r="P102" i="8"/>
  <c r="O19" i="10"/>
  <c r="O17" i="11"/>
  <c r="O17" i="27"/>
  <c r="O25" i="7"/>
  <c r="O23" i="8"/>
  <c r="O55" i="31"/>
  <c r="O24" i="3"/>
  <c r="O27" i="10"/>
  <c r="O23" i="22"/>
  <c r="O22" i="24"/>
  <c r="C61" i="2"/>
  <c r="C76" i="2"/>
  <c r="J95" i="47"/>
  <c r="H99" i="47"/>
  <c r="J94" i="39"/>
  <c r="J95" i="39" s="1"/>
  <c r="J94" i="41"/>
  <c r="J95" i="41" s="1"/>
  <c r="J94" i="22"/>
  <c r="J95" i="22" s="1"/>
  <c r="F17" i="2"/>
  <c r="J94" i="29"/>
  <c r="J95" i="29" s="1"/>
  <c r="J94" i="23"/>
  <c r="J95" i="23" s="1"/>
  <c r="J94" i="31"/>
  <c r="J95" i="31" s="1"/>
  <c r="F18" i="2"/>
  <c r="D28" i="47"/>
  <c r="E28" i="47" s="1"/>
  <c r="H27" i="47"/>
  <c r="I27" i="47" s="1"/>
  <c r="T14" i="17"/>
  <c r="E13" i="17"/>
  <c r="O43" i="22"/>
  <c r="O31" i="9"/>
  <c r="O71" i="13"/>
  <c r="O69" i="13"/>
  <c r="O65" i="13"/>
  <c r="O63" i="13"/>
  <c r="O61" i="13"/>
  <c r="O59" i="13"/>
  <c r="O57" i="13"/>
  <c r="O45" i="13"/>
  <c r="O41" i="13"/>
  <c r="O35" i="13"/>
  <c r="O25" i="13"/>
  <c r="O23" i="13"/>
  <c r="O21" i="13"/>
  <c r="O19" i="13"/>
  <c r="O65" i="38"/>
  <c r="O69" i="11"/>
  <c r="O37" i="11"/>
  <c r="O70" i="23"/>
  <c r="O64" i="23"/>
  <c r="O60" i="23"/>
  <c r="O58" i="23"/>
  <c r="O54" i="23"/>
  <c r="O52" i="23"/>
  <c r="O50" i="23"/>
  <c r="O46" i="23"/>
  <c r="O42" i="23"/>
  <c r="O39" i="28"/>
  <c r="O53" i="28"/>
  <c r="O57" i="28"/>
  <c r="O71" i="28"/>
  <c r="O52" i="30"/>
  <c r="O30" i="37"/>
  <c r="O54" i="37"/>
  <c r="O62" i="37"/>
  <c r="O72" i="25"/>
  <c r="O25" i="44"/>
  <c r="O33" i="44"/>
  <c r="O41" i="44"/>
  <c r="O49" i="44"/>
  <c r="O57" i="44"/>
  <c r="O65" i="44"/>
  <c r="O69" i="44"/>
  <c r="O62" i="8"/>
  <c r="O58" i="8"/>
  <c r="O54" i="13"/>
  <c r="O50" i="13"/>
  <c r="O46" i="13"/>
  <c r="F88" i="1"/>
  <c r="F89" i="1" s="1"/>
  <c r="F91" i="1" s="1"/>
  <c r="F92" i="1" s="1"/>
  <c r="F93" i="1" s="1"/>
  <c r="O67" i="29"/>
  <c r="O38" i="38"/>
  <c r="O51" i="42"/>
  <c r="O71" i="22"/>
  <c r="O67" i="22"/>
  <c r="O47" i="30"/>
  <c r="O29" i="5"/>
  <c r="O39" i="6"/>
  <c r="O58" i="9"/>
  <c r="O38" i="9"/>
  <c r="O59" i="22"/>
  <c r="O47" i="22"/>
  <c r="O41" i="22"/>
  <c r="O39" i="22"/>
  <c r="O29" i="22"/>
  <c r="O23" i="30"/>
  <c r="O37" i="31"/>
  <c r="O51" i="31"/>
  <c r="O25" i="39"/>
  <c r="O41" i="39"/>
  <c r="O51" i="39"/>
  <c r="O55" i="39"/>
  <c r="O45" i="40"/>
  <c r="O52" i="44"/>
  <c r="O38" i="5"/>
  <c r="O25" i="27"/>
  <c r="O29" i="27"/>
  <c r="O37" i="27"/>
  <c r="O39" i="27"/>
  <c r="O45" i="27"/>
  <c r="O47" i="27"/>
  <c r="O51" i="27"/>
  <c r="O53" i="27"/>
  <c r="O55" i="27"/>
  <c r="O57" i="27"/>
  <c r="O59" i="27"/>
  <c r="O61" i="27"/>
  <c r="O65" i="27"/>
  <c r="O67" i="27"/>
  <c r="O26" i="29"/>
  <c r="O34" i="29"/>
  <c r="O36" i="29"/>
  <c r="O40" i="29"/>
  <c r="O22" i="37"/>
  <c r="O24" i="37"/>
  <c r="O26" i="37"/>
  <c r="O28" i="37"/>
  <c r="O32" i="37"/>
  <c r="O34" i="37"/>
  <c r="O36" i="37"/>
  <c r="O38" i="37"/>
  <c r="O50" i="37"/>
  <c r="O52" i="37"/>
  <c r="O56" i="37"/>
  <c r="O66" i="37"/>
  <c r="O68" i="37"/>
  <c r="O70" i="37"/>
  <c r="O24" i="40"/>
  <c r="O26" i="40"/>
  <c r="O28" i="40"/>
  <c r="O30" i="40"/>
  <c r="O32" i="40"/>
  <c r="O34" i="40"/>
  <c r="O36" i="40"/>
  <c r="O38" i="40"/>
  <c r="O40" i="40"/>
  <c r="O42" i="40"/>
  <c r="O44" i="40"/>
  <c r="O46" i="40"/>
  <c r="O50" i="40"/>
  <c r="O52" i="40"/>
  <c r="O56" i="40"/>
  <c r="O58" i="40"/>
  <c r="O62" i="40"/>
  <c r="O64" i="40"/>
  <c r="O66" i="40"/>
  <c r="O70" i="40"/>
  <c r="O72" i="40"/>
  <c r="O51" i="45"/>
  <c r="O55" i="45"/>
  <c r="O59" i="45"/>
  <c r="O67" i="45"/>
  <c r="O71" i="45"/>
  <c r="O33" i="41"/>
  <c r="O57" i="41"/>
  <c r="P101" i="31"/>
  <c r="O49" i="42"/>
  <c r="O31" i="38"/>
  <c r="O18" i="38"/>
  <c r="O60" i="37"/>
  <c r="O18" i="37"/>
  <c r="O23" i="31"/>
  <c r="O27" i="31"/>
  <c r="O47" i="31"/>
  <c r="O50" i="29"/>
  <c r="O52" i="29"/>
  <c r="O56" i="29"/>
  <c r="O64" i="29"/>
  <c r="O22" i="27"/>
  <c r="O68" i="25"/>
  <c r="O64" i="25"/>
  <c r="O62" i="25"/>
  <c r="O60" i="25"/>
  <c r="O56" i="25"/>
  <c r="O54" i="25"/>
  <c r="O50" i="25"/>
  <c r="O48" i="25"/>
  <c r="O44" i="25"/>
  <c r="O36" i="25"/>
  <c r="O34" i="25"/>
  <c r="O30" i="25"/>
  <c r="O28" i="25"/>
  <c r="O71" i="24"/>
  <c r="O61" i="24"/>
  <c r="O37" i="24"/>
  <c r="O33" i="23"/>
  <c r="O53" i="9"/>
  <c r="O55" i="7"/>
  <c r="O49" i="7"/>
  <c r="O48" i="5"/>
  <c r="O40" i="5"/>
  <c r="O28" i="5"/>
  <c r="O26" i="5"/>
  <c r="D94" i="6"/>
  <c r="D94" i="13"/>
  <c r="D93" i="3"/>
  <c r="C99" i="3" s="1"/>
  <c r="D94" i="5"/>
  <c r="D94" i="23"/>
  <c r="O62" i="3"/>
  <c r="O34" i="3"/>
  <c r="O71" i="4"/>
  <c r="O55" i="4"/>
  <c r="O67" i="6"/>
  <c r="O47" i="6"/>
  <c r="O69" i="7"/>
  <c r="O65" i="7"/>
  <c r="O57" i="7"/>
  <c r="O51" i="7"/>
  <c r="O45" i="7"/>
  <c r="O39" i="7"/>
  <c r="O31" i="7"/>
  <c r="O25" i="31"/>
  <c r="O35" i="31"/>
  <c r="O41" i="31"/>
  <c r="O59" i="31"/>
  <c r="O67" i="31"/>
  <c r="O69" i="31"/>
  <c r="O71" i="31"/>
  <c r="O72" i="31"/>
  <c r="J92" i="25"/>
  <c r="M87" i="25" s="1"/>
  <c r="J92" i="10"/>
  <c r="N87" i="10" s="1"/>
  <c r="J92" i="42"/>
  <c r="L86" i="42" s="1"/>
  <c r="J92" i="30"/>
  <c r="L86" i="30" s="1"/>
  <c r="J92" i="40"/>
  <c r="L86" i="40" s="1"/>
  <c r="M19" i="2"/>
  <c r="J92" i="8"/>
  <c r="L86" i="8" s="1"/>
  <c r="J92" i="24"/>
  <c r="L86" i="24" s="1"/>
  <c r="J92" i="7"/>
  <c r="L86" i="7" s="1"/>
  <c r="J92" i="4"/>
  <c r="L86" i="4" s="1"/>
  <c r="J92" i="3"/>
  <c r="M87" i="3" s="1"/>
  <c r="J92" i="31"/>
  <c r="L86" i="31" s="1"/>
  <c r="J92" i="5"/>
  <c r="L86" i="5" s="1"/>
  <c r="J92" i="11"/>
  <c r="M87" i="11" s="1"/>
  <c r="J92" i="29"/>
  <c r="L86" i="29" s="1"/>
  <c r="J92" i="27"/>
  <c r="L86" i="27" s="1"/>
  <c r="J92" i="44"/>
  <c r="N87" i="44" s="1"/>
  <c r="J92" i="37"/>
  <c r="L86" i="37" s="1"/>
  <c r="J92" i="28"/>
  <c r="N87" i="28" s="1"/>
  <c r="J92" i="13"/>
  <c r="L86" i="13" s="1"/>
  <c r="J92" i="43"/>
  <c r="N87" i="43" s="1"/>
  <c r="J92" i="9"/>
  <c r="N87" i="9" s="1"/>
  <c r="J92" i="23"/>
  <c r="L86" i="23" s="1"/>
  <c r="A4" i="2"/>
  <c r="J92" i="6"/>
  <c r="L86" i="6" s="1"/>
  <c r="J92" i="38"/>
  <c r="L86" i="38" s="1"/>
  <c r="J92" i="22"/>
  <c r="M87" i="22" s="1"/>
  <c r="J92" i="39"/>
  <c r="N87" i="39" s="1"/>
  <c r="O22" i="46"/>
  <c r="O26" i="46"/>
  <c r="O28" i="46"/>
  <c r="O30" i="46"/>
  <c r="O32" i="46"/>
  <c r="O46" i="46"/>
  <c r="O58" i="46"/>
  <c r="O62" i="46"/>
  <c r="B18" i="46"/>
  <c r="O34" i="46"/>
  <c r="O35" i="46"/>
  <c r="O43" i="46"/>
  <c r="O51" i="46"/>
  <c r="O69" i="46"/>
  <c r="C45" i="46"/>
  <c r="C46" i="46" s="1"/>
  <c r="C47" i="46" s="1"/>
  <c r="C48" i="46" s="1"/>
  <c r="C49" i="46" s="1"/>
  <c r="C50" i="46" s="1"/>
  <c r="C51" i="46" s="1"/>
  <c r="C52" i="46" s="1"/>
  <c r="C53" i="46" s="1"/>
  <c r="C54" i="46" s="1"/>
  <c r="C55" i="46" s="1"/>
  <c r="C56" i="46" s="1"/>
  <c r="C57" i="46" s="1"/>
  <c r="C58" i="46" s="1"/>
  <c r="C59" i="46" s="1"/>
  <c r="C60" i="46" s="1"/>
  <c r="C61" i="46" s="1"/>
  <c r="C62" i="46" s="1"/>
  <c r="C63" i="46" s="1"/>
  <c r="C64" i="46" s="1"/>
  <c r="C65" i="46" s="1"/>
  <c r="C66" i="46" s="1"/>
  <c r="C67" i="46" s="1"/>
  <c r="C68" i="46" s="1"/>
  <c r="C69" i="46" s="1"/>
  <c r="C70" i="46" s="1"/>
  <c r="C71" i="46" s="1"/>
  <c r="C72" i="46" s="1"/>
  <c r="P48" i="17"/>
  <c r="O17" i="46"/>
  <c r="O33" i="46"/>
  <c r="O39" i="46"/>
  <c r="O41" i="46"/>
  <c r="O49" i="46"/>
  <c r="O57" i="46"/>
  <c r="O65" i="46"/>
  <c r="O71" i="46"/>
  <c r="O55" i="41"/>
  <c r="O20" i="39"/>
  <c r="O24" i="39"/>
  <c r="O26" i="39"/>
  <c r="O32" i="39"/>
  <c r="O34" i="39"/>
  <c r="O38" i="39"/>
  <c r="O40" i="39"/>
  <c r="O44" i="39"/>
  <c r="O56" i="39"/>
  <c r="O58" i="39"/>
  <c r="O60" i="39"/>
  <c r="O64" i="39"/>
  <c r="O72" i="39"/>
  <c r="O28" i="43"/>
  <c r="O44" i="43"/>
  <c r="O17" i="41"/>
  <c r="O48" i="39"/>
  <c r="O21" i="28"/>
  <c r="O23" i="28"/>
  <c r="O25" i="28"/>
  <c r="O27" i="28"/>
  <c r="O29" i="28"/>
  <c r="O31" i="28"/>
  <c r="O35" i="28"/>
  <c r="O45" i="28"/>
  <c r="O47" i="28"/>
  <c r="O59" i="28"/>
  <c r="O61" i="28"/>
  <c r="O65" i="28"/>
  <c r="O67" i="28"/>
  <c r="O71" i="25"/>
  <c r="O65" i="25"/>
  <c r="O63" i="25"/>
  <c r="O57" i="25"/>
  <c r="O55" i="25"/>
  <c r="O53" i="25"/>
  <c r="O51" i="25"/>
  <c r="O71" i="23"/>
  <c r="O69" i="23"/>
  <c r="O65" i="23"/>
  <c r="O63" i="23"/>
  <c r="O61" i="23"/>
  <c r="O59" i="23"/>
  <c r="O57" i="23"/>
  <c r="O55" i="23"/>
  <c r="O47" i="23"/>
  <c r="O43" i="23"/>
  <c r="O37" i="23"/>
  <c r="O28" i="11"/>
  <c r="O35" i="10"/>
  <c r="O29" i="10"/>
  <c r="O28" i="9"/>
  <c r="O44" i="4"/>
  <c r="O26" i="3"/>
  <c r="P154" i="6"/>
  <c r="P150" i="6"/>
  <c r="P146" i="6"/>
  <c r="P144" i="6"/>
  <c r="P138" i="6"/>
  <c r="P136" i="6"/>
  <c r="P134" i="6"/>
  <c r="P132" i="6"/>
  <c r="P122" i="6"/>
  <c r="P116" i="6"/>
  <c r="P114" i="6"/>
  <c r="O31" i="45"/>
  <c r="O33" i="45"/>
  <c r="O41" i="45"/>
  <c r="B18" i="44"/>
  <c r="O17" i="42"/>
  <c r="O21" i="42"/>
  <c r="O45" i="42"/>
  <c r="O22" i="43"/>
  <c r="O60" i="43"/>
  <c r="O18" i="43"/>
  <c r="O26" i="43"/>
  <c r="O32" i="43"/>
  <c r="O36" i="43"/>
  <c r="O38" i="43"/>
  <c r="O48" i="43"/>
  <c r="O52" i="43"/>
  <c r="O54" i="43"/>
  <c r="O64" i="43"/>
  <c r="O68" i="43"/>
  <c r="O20" i="43"/>
  <c r="O40" i="43"/>
  <c r="O56" i="43"/>
  <c r="O70" i="43"/>
  <c r="O72" i="43"/>
  <c r="O37" i="42"/>
  <c r="O43" i="42"/>
  <c r="O53" i="42"/>
  <c r="O55" i="42"/>
  <c r="O59" i="42"/>
  <c r="O61" i="42"/>
  <c r="O21" i="41"/>
  <c r="O25" i="41"/>
  <c r="O27" i="41"/>
  <c r="O29" i="41"/>
  <c r="O31" i="41"/>
  <c r="O35" i="41"/>
  <c r="O45" i="41"/>
  <c r="O47" i="41"/>
  <c r="O59" i="41"/>
  <c r="O61" i="41"/>
  <c r="O63" i="41"/>
  <c r="O65" i="41"/>
  <c r="O67" i="41"/>
  <c r="O71" i="41"/>
  <c r="O19" i="38"/>
  <c r="O21" i="38"/>
  <c r="O29" i="38"/>
  <c r="O35" i="38"/>
  <c r="O39" i="38"/>
  <c r="O59" i="38"/>
  <c r="O61" i="38"/>
  <c r="O63" i="38"/>
  <c r="O67" i="38"/>
  <c r="O69" i="38"/>
  <c r="O71" i="38"/>
  <c r="O31" i="31"/>
  <c r="O33" i="31"/>
  <c r="O39" i="31"/>
  <c r="O43" i="31"/>
  <c r="O45" i="31"/>
  <c r="O49" i="28"/>
  <c r="O69" i="28"/>
  <c r="O72" i="28"/>
  <c r="O27" i="27"/>
  <c r="O49" i="27"/>
  <c r="O67" i="24"/>
  <c r="O65" i="24"/>
  <c r="O63" i="24"/>
  <c r="O55" i="24"/>
  <c r="O53" i="24"/>
  <c r="O47" i="24"/>
  <c r="O35" i="24"/>
  <c r="O33" i="24"/>
  <c r="O27" i="24"/>
  <c r="O25" i="24"/>
  <c r="O41" i="23"/>
  <c r="O39" i="23"/>
  <c r="O35" i="23"/>
  <c r="O31" i="23"/>
  <c r="O27" i="23"/>
  <c r="O67" i="11"/>
  <c r="O63" i="9"/>
  <c r="O61" i="9"/>
  <c r="O57" i="9"/>
  <c r="O51" i="9"/>
  <c r="O47" i="9"/>
  <c r="O72" i="8"/>
  <c r="O70" i="8"/>
  <c r="O68" i="8"/>
  <c r="O66" i="8"/>
  <c r="O60" i="8"/>
  <c r="O56" i="8"/>
  <c r="O54" i="8"/>
  <c r="O52" i="8"/>
  <c r="O50" i="8"/>
  <c r="O39" i="8"/>
  <c r="O57" i="6"/>
  <c r="O55" i="6"/>
  <c r="O51" i="6"/>
  <c r="O49" i="6"/>
  <c r="O45" i="6"/>
  <c r="O72" i="10"/>
  <c r="O66" i="10"/>
  <c r="O62" i="10"/>
  <c r="O60" i="10"/>
  <c r="O58" i="10"/>
  <c r="O56" i="10"/>
  <c r="O52" i="10"/>
  <c r="O46" i="10"/>
  <c r="O40" i="10"/>
  <c r="O38" i="10"/>
  <c r="O36" i="10"/>
  <c r="O32" i="10"/>
  <c r="O67" i="9"/>
  <c r="O65" i="9"/>
  <c r="O59" i="9"/>
  <c r="O49" i="9"/>
  <c r="O48" i="8"/>
  <c r="O67" i="7"/>
  <c r="O59" i="7"/>
  <c r="O53" i="7"/>
  <c r="O35" i="6"/>
  <c r="O33" i="6"/>
  <c r="O31" i="6"/>
  <c r="O71" i="6"/>
  <c r="O65" i="6"/>
  <c r="O53" i="6"/>
  <c r="O68" i="3"/>
  <c r="O66" i="3"/>
  <c r="P130" i="45"/>
  <c r="P111" i="43"/>
  <c r="P115" i="43"/>
  <c r="P121" i="43"/>
  <c r="P112" i="29"/>
  <c r="P124" i="10"/>
  <c r="P123" i="5"/>
  <c r="P111" i="5"/>
  <c r="P153" i="5"/>
  <c r="P147" i="5"/>
  <c r="P145" i="5"/>
  <c r="P139" i="5"/>
  <c r="P131" i="5"/>
  <c r="P113" i="5"/>
  <c r="D94" i="4"/>
  <c r="D94" i="25"/>
  <c r="P129" i="4"/>
  <c r="P113" i="4"/>
  <c r="C82" i="2"/>
  <c r="C59" i="2"/>
  <c r="C14" i="2"/>
  <c r="C39" i="2"/>
  <c r="C77" i="2"/>
  <c r="C80" i="2"/>
  <c r="C28" i="2"/>
  <c r="C62" i="2"/>
  <c r="C10" i="2"/>
  <c r="C56" i="2"/>
  <c r="C8" i="2"/>
  <c r="C55" i="2"/>
  <c r="C73" i="2"/>
  <c r="C50" i="2"/>
  <c r="C22" i="2"/>
  <c r="P107" i="38"/>
  <c r="P128" i="25"/>
  <c r="O45" i="3"/>
  <c r="O51" i="29"/>
  <c r="O69" i="29"/>
  <c r="O71" i="29"/>
  <c r="O58" i="30"/>
  <c r="O52" i="31"/>
  <c r="O20" i="38"/>
  <c r="O63" i="11"/>
  <c r="O57" i="11"/>
  <c r="O62" i="13"/>
  <c r="O44" i="6"/>
  <c r="O42" i="6"/>
  <c r="O40" i="6"/>
  <c r="O38" i="6"/>
  <c r="O36" i="6"/>
  <c r="O34" i="6"/>
  <c r="O32" i="6"/>
  <c r="O30" i="6"/>
  <c r="O49" i="25"/>
  <c r="O47" i="25"/>
  <c r="O45" i="25"/>
  <c r="O43" i="25"/>
  <c r="O54" i="46"/>
  <c r="O64" i="3"/>
  <c r="O60" i="3"/>
  <c r="O50" i="3"/>
  <c r="O46" i="3"/>
  <c r="O44" i="5"/>
  <c r="O41" i="7"/>
  <c r="O37" i="7"/>
  <c r="O35" i="7"/>
  <c r="O45" i="9"/>
  <c r="O43" i="9"/>
  <c r="O41" i="9"/>
  <c r="O37" i="9"/>
  <c r="O35" i="9"/>
  <c r="O33" i="9"/>
  <c r="O40" i="37"/>
  <c r="O25" i="46"/>
  <c r="O37" i="5"/>
  <c r="O48" i="7"/>
  <c r="O32" i="7"/>
  <c r="O64" i="7"/>
  <c r="O68" i="9"/>
  <c r="O62" i="9"/>
  <c r="O56" i="9"/>
  <c r="O42" i="9"/>
  <c r="O30" i="9"/>
  <c r="O36" i="23"/>
  <c r="O34" i="23"/>
  <c r="O32" i="23"/>
  <c r="O30" i="23"/>
  <c r="O39" i="25"/>
  <c r="O37" i="25"/>
  <c r="O33" i="25"/>
  <c r="O29" i="25"/>
  <c r="O24" i="27"/>
  <c r="O26" i="27"/>
  <c r="O28" i="27"/>
  <c r="O30" i="27"/>
  <c r="O32" i="27"/>
  <c r="O34" i="27"/>
  <c r="O36" i="27"/>
  <c r="O38" i="27"/>
  <c r="O40" i="27"/>
  <c r="O42" i="27"/>
  <c r="O44" i="27"/>
  <c r="O46" i="27"/>
  <c r="O52" i="27"/>
  <c r="O54" i="27"/>
  <c r="O56" i="27"/>
  <c r="O58" i="27"/>
  <c r="O60" i="27"/>
  <c r="O62" i="27"/>
  <c r="O64" i="27"/>
  <c r="O66" i="27"/>
  <c r="O68" i="27"/>
  <c r="O70" i="27"/>
  <c r="O72" i="27"/>
  <c r="O19" i="37"/>
  <c r="O21" i="37"/>
  <c r="O25" i="37"/>
  <c r="O27" i="37"/>
  <c r="O33" i="37"/>
  <c r="O37" i="37"/>
  <c r="O41" i="37"/>
  <c r="O43" i="37"/>
  <c r="O45" i="37"/>
  <c r="O47" i="37"/>
  <c r="O49" i="37"/>
  <c r="O51" i="37"/>
  <c r="O53" i="37"/>
  <c r="O55" i="37"/>
  <c r="O57" i="37"/>
  <c r="O63" i="37"/>
  <c r="O65" i="37"/>
  <c r="O67" i="37"/>
  <c r="O69" i="37"/>
  <c r="O71" i="37"/>
  <c r="O22" i="38"/>
  <c r="O26" i="38"/>
  <c r="O30" i="38"/>
  <c r="O44" i="38"/>
  <c r="O54" i="38"/>
  <c r="O58" i="38"/>
  <c r="O60" i="38"/>
  <c r="O72" i="38"/>
  <c r="O69" i="41"/>
  <c r="O42" i="3"/>
  <c r="O38" i="3"/>
  <c r="O42" i="5"/>
  <c r="O32" i="5"/>
  <c r="O30" i="5"/>
  <c r="O33" i="7"/>
  <c r="O72" i="11"/>
  <c r="O59" i="10"/>
  <c r="O55" i="10"/>
  <c r="O39" i="10"/>
  <c r="O69" i="22"/>
  <c r="O65" i="22"/>
  <c r="O55" i="22"/>
  <c r="O27" i="22"/>
  <c r="O72" i="23"/>
  <c r="O68" i="23"/>
  <c r="O66" i="23"/>
  <c r="O62" i="23"/>
  <c r="O40" i="23"/>
  <c r="O38" i="23"/>
  <c r="O58" i="25"/>
  <c r="O52" i="25"/>
  <c r="O42" i="25"/>
  <c r="O40" i="25"/>
  <c r="O38" i="25"/>
  <c r="O32" i="25"/>
  <c r="O26" i="25"/>
  <c r="O25" i="30"/>
  <c r="O39" i="30"/>
  <c r="O45" i="30"/>
  <c r="O49" i="30"/>
  <c r="O61" i="30"/>
  <c r="O65" i="30"/>
  <c r="O67" i="30"/>
  <c r="O65" i="40"/>
  <c r="O49" i="45"/>
  <c r="O19" i="43"/>
  <c r="O23" i="43"/>
  <c r="O39" i="43"/>
  <c r="O45" i="43"/>
  <c r="O71" i="43"/>
  <c r="O20" i="42"/>
  <c r="O22" i="42"/>
  <c r="O26" i="42"/>
  <c r="O28" i="42"/>
  <c r="O32" i="42"/>
  <c r="O36" i="42"/>
  <c r="O38" i="42"/>
  <c r="O40" i="42"/>
  <c r="O42" i="42"/>
  <c r="O44" i="42"/>
  <c r="O46" i="42"/>
  <c r="O48" i="42"/>
  <c r="O60" i="42"/>
  <c r="O64" i="42"/>
  <c r="O66" i="42"/>
  <c r="O72" i="42"/>
  <c r="O58" i="42"/>
  <c r="O68" i="42"/>
  <c r="O23" i="42"/>
  <c r="O31" i="42"/>
  <c r="O33" i="42"/>
  <c r="O35" i="42"/>
  <c r="O57" i="42"/>
  <c r="O63" i="42"/>
  <c r="O71" i="42"/>
  <c r="O22" i="41"/>
  <c r="O28" i="41"/>
  <c r="O38" i="41"/>
  <c r="O44" i="41"/>
  <c r="O46" i="41"/>
  <c r="O50" i="41"/>
  <c r="O56" i="41"/>
  <c r="O58" i="41"/>
  <c r="O64" i="41"/>
  <c r="O68" i="41"/>
  <c r="O70" i="41"/>
  <c r="O72" i="41"/>
  <c r="O19" i="40"/>
  <c r="O21" i="40"/>
  <c r="O23" i="40"/>
  <c r="O25" i="40"/>
  <c r="O27" i="40"/>
  <c r="O29" i="40"/>
  <c r="O31" i="40"/>
  <c r="O33" i="40"/>
  <c r="O35" i="40"/>
  <c r="O37" i="40"/>
  <c r="O39" i="40"/>
  <c r="O41" i="40"/>
  <c r="O43" i="40"/>
  <c r="O47" i="40"/>
  <c r="O49" i="40"/>
  <c r="O51" i="40"/>
  <c r="O53" i="40"/>
  <c r="O57" i="40"/>
  <c r="O59" i="40"/>
  <c r="O61" i="40"/>
  <c r="O63" i="40"/>
  <c r="O67" i="40"/>
  <c r="O69" i="40"/>
  <c r="O71" i="40"/>
  <c r="O41" i="30"/>
  <c r="O43" i="30"/>
  <c r="O51" i="30"/>
  <c r="O53" i="30"/>
  <c r="O57" i="30"/>
  <c r="O59" i="30"/>
  <c r="O63" i="30"/>
  <c r="O69" i="30"/>
  <c r="L20" i="30"/>
  <c r="O20" i="30" s="1"/>
  <c r="O69" i="24"/>
  <c r="O59" i="24"/>
  <c r="O49" i="24"/>
  <c r="O41" i="24"/>
  <c r="O72" i="24"/>
  <c r="O70" i="24"/>
  <c r="O64" i="24"/>
  <c r="O62" i="24"/>
  <c r="O60" i="24"/>
  <c r="O54" i="24"/>
  <c r="O52" i="24"/>
  <c r="O50" i="24"/>
  <c r="O46" i="24"/>
  <c r="O44" i="24"/>
  <c r="O42" i="24"/>
  <c r="O40" i="24"/>
  <c r="O38" i="24"/>
  <c r="O36" i="24"/>
  <c r="O34" i="24"/>
  <c r="O30" i="24"/>
  <c r="O28" i="24"/>
  <c r="O26" i="24"/>
  <c r="O24" i="23"/>
  <c r="O72" i="22"/>
  <c r="O70" i="22"/>
  <c r="O68" i="22"/>
  <c r="O66" i="22"/>
  <c r="O64" i="22"/>
  <c r="O62" i="22"/>
  <c r="O54" i="22"/>
  <c r="O44" i="22"/>
  <c r="O42" i="22"/>
  <c r="O40" i="22"/>
  <c r="O38" i="22"/>
  <c r="O36" i="22"/>
  <c r="O30" i="22"/>
  <c r="O70" i="11"/>
  <c r="O64" i="11"/>
  <c r="O62" i="11"/>
  <c r="O60" i="11"/>
  <c r="O58" i="11"/>
  <c r="O56" i="11"/>
  <c r="O54" i="11"/>
  <c r="O50" i="11"/>
  <c r="O40" i="11"/>
  <c r="O38" i="11"/>
  <c r="O36" i="11"/>
  <c r="O30" i="11"/>
  <c r="O71" i="10"/>
  <c r="O69" i="10"/>
  <c r="O47" i="10"/>
  <c r="O45" i="10"/>
  <c r="O37" i="10"/>
  <c r="O31" i="10"/>
  <c r="O71" i="8"/>
  <c r="O63" i="8"/>
  <c r="O57" i="8"/>
  <c r="O53" i="8"/>
  <c r="O51" i="8"/>
  <c r="O49" i="8"/>
  <c r="O44" i="8"/>
  <c r="O40" i="8"/>
  <c r="O64" i="8"/>
  <c r="O43" i="8"/>
  <c r="O29" i="7"/>
  <c r="O40" i="7"/>
  <c r="O70" i="6"/>
  <c r="O26" i="4"/>
  <c r="O72" i="3"/>
  <c r="O58" i="3"/>
  <c r="O48" i="3"/>
  <c r="O36" i="3"/>
  <c r="O69" i="6"/>
  <c r="O55" i="9"/>
  <c r="O64" i="4"/>
  <c r="O62" i="4"/>
  <c r="O60" i="4"/>
  <c r="O58" i="4"/>
  <c r="O56" i="4"/>
  <c r="O54" i="4"/>
  <c r="O52" i="4"/>
  <c r="O50" i="4"/>
  <c r="O48" i="4"/>
  <c r="O46" i="4"/>
  <c r="O42" i="4"/>
  <c r="O40" i="4"/>
  <c r="O38" i="4"/>
  <c r="O36" i="4"/>
  <c r="O34" i="4"/>
  <c r="O30" i="4"/>
  <c r="O67" i="10"/>
  <c r="O65" i="10"/>
  <c r="O63" i="10"/>
  <c r="O61" i="10"/>
  <c r="O53" i="10"/>
  <c r="O49" i="10"/>
  <c r="O61" i="11"/>
  <c r="O51" i="11"/>
  <c r="O49" i="11"/>
  <c r="O41" i="11"/>
  <c r="O39" i="11"/>
  <c r="O33" i="11"/>
  <c r="O70" i="13"/>
  <c r="O68" i="13"/>
  <c r="O66" i="13"/>
  <c r="O64" i="13"/>
  <c r="O60" i="13"/>
  <c r="O58" i="13"/>
  <c r="O56" i="13"/>
  <c r="O52" i="13"/>
  <c r="O48" i="13"/>
  <c r="O42" i="13"/>
  <c r="O36" i="13"/>
  <c r="O34" i="13"/>
  <c r="O28" i="13"/>
  <c r="O26" i="13"/>
  <c r="O22" i="13"/>
  <c r="O20" i="13"/>
  <c r="O19" i="42"/>
  <c r="O71" i="3"/>
  <c r="O69" i="3"/>
  <c r="O67" i="3"/>
  <c r="O61" i="3"/>
  <c r="O57" i="3"/>
  <c r="O55" i="3"/>
  <c r="O53" i="3"/>
  <c r="O51" i="3"/>
  <c r="O47" i="3"/>
  <c r="O43" i="3"/>
  <c r="O41" i="3"/>
  <c r="O39" i="3"/>
  <c r="O37" i="3"/>
  <c r="O33" i="28"/>
  <c r="O63" i="28"/>
  <c r="O24" i="29"/>
  <c r="O42" i="29"/>
  <c r="O46" i="29"/>
  <c r="O48" i="29"/>
  <c r="O54" i="29"/>
  <c r="O58" i="29"/>
  <c r="O60" i="29"/>
  <c r="O62" i="29"/>
  <c r="O66" i="29"/>
  <c r="O70" i="29"/>
  <c r="O21" i="30"/>
  <c r="O29" i="30"/>
  <c r="O31" i="30"/>
  <c r="O33" i="30"/>
  <c r="O35" i="30"/>
  <c r="O37" i="30"/>
  <c r="O47" i="45"/>
  <c r="O68" i="6"/>
  <c r="O66" i="6"/>
  <c r="O36" i="28"/>
  <c r="O40" i="28"/>
  <c r="O24" i="30"/>
  <c r="O32" i="30"/>
  <c r="O40" i="30"/>
  <c r="O42" i="30"/>
  <c r="O50" i="30"/>
  <c r="O54" i="30"/>
  <c r="O56" i="30"/>
  <c r="O60" i="30"/>
  <c r="O62" i="30"/>
  <c r="O64" i="30"/>
  <c r="O66" i="30"/>
  <c r="O70" i="30"/>
  <c r="O22" i="31"/>
  <c r="O24" i="31"/>
  <c r="O26" i="31"/>
  <c r="O30" i="31"/>
  <c r="O42" i="31"/>
  <c r="O44" i="31"/>
  <c r="O48" i="31"/>
  <c r="O50" i="31"/>
  <c r="O54" i="31"/>
  <c r="O64" i="31"/>
  <c r="O66" i="31"/>
  <c r="O68" i="31"/>
  <c r="O21" i="43"/>
  <c r="O29" i="43"/>
  <c r="O31" i="43"/>
  <c r="O37" i="43"/>
  <c r="O47" i="43"/>
  <c r="O53" i="43"/>
  <c r="O55" i="43"/>
  <c r="O61" i="43"/>
  <c r="O63" i="43"/>
  <c r="O69" i="43"/>
  <c r="O20" i="44"/>
  <c r="O43" i="6"/>
  <c r="C10" i="1"/>
  <c r="C28" i="1"/>
  <c r="C61" i="1"/>
  <c r="C79" i="1"/>
  <c r="C73" i="1"/>
  <c r="C55" i="1"/>
  <c r="C8" i="1"/>
  <c r="C62" i="1"/>
  <c r="F14" i="1"/>
  <c r="E19" i="1" s="1"/>
  <c r="F19" i="1" s="1"/>
  <c r="C82" i="1"/>
  <c r="C76" i="1"/>
  <c r="C39" i="1"/>
  <c r="C50" i="1"/>
  <c r="C22" i="1"/>
  <c r="C56" i="1"/>
  <c r="C14" i="1"/>
  <c r="O24" i="28"/>
  <c r="O26" i="28"/>
  <c r="O28" i="28"/>
  <c r="O30" i="28"/>
  <c r="O34" i="28"/>
  <c r="O38" i="28"/>
  <c r="O42" i="28"/>
  <c r="O52" i="28"/>
  <c r="O54" i="28"/>
  <c r="O58" i="28"/>
  <c r="O60" i="28"/>
  <c r="O62" i="28"/>
  <c r="O64" i="28"/>
  <c r="O66" i="28"/>
  <c r="O68" i="28"/>
  <c r="O70" i="28"/>
  <c r="O23" i="29"/>
  <c r="O33" i="29"/>
  <c r="O35" i="29"/>
  <c r="O37" i="29"/>
  <c r="O39" i="29"/>
  <c r="O41" i="29"/>
  <c r="O43" i="29"/>
  <c r="O45" i="29"/>
  <c r="O47" i="29"/>
  <c r="O49" i="29"/>
  <c r="O53" i="29"/>
  <c r="O57" i="29"/>
  <c r="O59" i="29"/>
  <c r="O61" i="29"/>
  <c r="O63" i="29"/>
  <c r="O65" i="29"/>
  <c r="O30" i="30"/>
  <c r="O68" i="30"/>
  <c r="O28" i="31"/>
  <c r="O32" i="31"/>
  <c r="O36" i="31"/>
  <c r="O56" i="31"/>
  <c r="O60" i="31"/>
  <c r="O62" i="31"/>
  <c r="O70" i="31"/>
  <c r="O28" i="38"/>
  <c r="O32" i="38"/>
  <c r="O34" i="38"/>
  <c r="O40" i="38"/>
  <c r="O52" i="39"/>
  <c r="O68" i="39"/>
  <c r="O70" i="39"/>
  <c r="O41" i="43"/>
  <c r="O49" i="43"/>
  <c r="O51" i="43"/>
  <c r="O34" i="44"/>
  <c r="O62" i="44"/>
  <c r="O68" i="44"/>
  <c r="O72" i="44"/>
  <c r="O28" i="45"/>
  <c r="O44" i="45"/>
  <c r="O58" i="45"/>
  <c r="O60" i="45"/>
  <c r="O72" i="45"/>
  <c r="P153" i="4"/>
  <c r="P131" i="4"/>
  <c r="P121" i="4"/>
  <c r="P119" i="4"/>
  <c r="P117" i="4"/>
  <c r="P111" i="4"/>
  <c r="P114" i="5"/>
  <c r="O31" i="5"/>
  <c r="O72" i="6"/>
  <c r="O18" i="13"/>
  <c r="F17" i="13"/>
  <c r="H17" i="13" s="1"/>
  <c r="O63" i="27"/>
  <c r="O65" i="4"/>
  <c r="O63" i="4"/>
  <c r="O61" i="4"/>
  <c r="O59" i="4"/>
  <c r="O57" i="4"/>
  <c r="O53" i="4"/>
  <c r="O51" i="4"/>
  <c r="O64" i="6"/>
  <c r="O56" i="6"/>
  <c r="O54" i="6"/>
  <c r="O52" i="6"/>
  <c r="O50" i="6"/>
  <c r="O48" i="6"/>
  <c r="O46" i="6"/>
  <c r="O68" i="7"/>
  <c r="O54" i="7"/>
  <c r="O52" i="7"/>
  <c r="O50" i="7"/>
  <c r="O46" i="7"/>
  <c r="O44" i="7"/>
  <c r="O42" i="7"/>
  <c r="O38" i="7"/>
  <c r="O36" i="7"/>
  <c r="O69" i="8"/>
  <c r="O65" i="8"/>
  <c r="O61" i="8"/>
  <c r="O59" i="8"/>
  <c r="O55" i="8"/>
  <c r="O38" i="8"/>
  <c r="O36" i="8"/>
  <c r="O34" i="8"/>
  <c r="O32" i="8"/>
  <c r="O30" i="8"/>
  <c r="O70" i="9"/>
  <c r="O66" i="9"/>
  <c r="O64" i="9"/>
  <c r="O60" i="9"/>
  <c r="O52" i="9"/>
  <c r="O46" i="9"/>
  <c r="O44" i="9"/>
  <c r="O40" i="9"/>
  <c r="O36" i="9"/>
  <c r="O34" i="9"/>
  <c r="O32" i="9"/>
  <c r="O49" i="31"/>
  <c r="O53" i="31"/>
  <c r="O57" i="31"/>
  <c r="O61" i="31"/>
  <c r="O63" i="31"/>
  <c r="O65" i="31"/>
  <c r="O23" i="38"/>
  <c r="O23" i="39"/>
  <c r="O33" i="39"/>
  <c r="O37" i="39"/>
  <c r="O39" i="39"/>
  <c r="O43" i="39"/>
  <c r="O53" i="39"/>
  <c r="O57" i="39"/>
  <c r="O59" i="39"/>
  <c r="O61" i="39"/>
  <c r="O63" i="39"/>
  <c r="O69" i="39"/>
  <c r="O71" i="39"/>
  <c r="P121" i="41"/>
  <c r="P125" i="42"/>
  <c r="O53" i="44"/>
  <c r="O25" i="45"/>
  <c r="O55" i="46"/>
  <c r="O59" i="46"/>
  <c r="O26" i="41"/>
  <c r="O30" i="41"/>
  <c r="O40" i="41"/>
  <c r="O48" i="41"/>
  <c r="O50" i="42"/>
  <c r="O56" i="24"/>
  <c r="O61" i="25"/>
  <c r="O35" i="45"/>
  <c r="O37" i="45"/>
  <c r="O32" i="4"/>
  <c r="O28" i="4"/>
  <c r="O22" i="40"/>
  <c r="O44" i="44"/>
  <c r="O35" i="3"/>
  <c r="O33" i="3"/>
  <c r="O29" i="3"/>
  <c r="O52" i="3"/>
  <c r="O33" i="10"/>
  <c r="O51" i="22"/>
  <c r="O46" i="38"/>
  <c r="O50" i="38"/>
  <c r="O62" i="38"/>
  <c r="O68" i="38"/>
  <c r="O70" i="38"/>
  <c r="O23" i="41"/>
  <c r="O25" i="42"/>
  <c r="O39" i="42"/>
  <c r="O65" i="42"/>
  <c r="O67" i="42"/>
  <c r="O18" i="46"/>
  <c r="O39" i="4"/>
  <c r="O33" i="8"/>
  <c r="O72" i="37"/>
  <c r="O62" i="43"/>
  <c r="O37" i="44"/>
  <c r="O61" i="44"/>
  <c r="O19" i="45"/>
  <c r="O21" i="45"/>
  <c r="O62" i="45"/>
  <c r="O38" i="46"/>
  <c r="O56" i="46"/>
  <c r="O63" i="3"/>
  <c r="O70" i="4"/>
  <c r="O66" i="4"/>
  <c r="O50" i="10"/>
  <c r="O55" i="13"/>
  <c r="O53" i="13"/>
  <c r="O51" i="13"/>
  <c r="O49" i="13"/>
  <c r="O47" i="13"/>
  <c r="O33" i="13"/>
  <c r="O31" i="13"/>
  <c r="O39" i="24"/>
  <c r="O45" i="38"/>
  <c r="O53" i="38"/>
  <c r="O68" i="46"/>
  <c r="O27" i="29"/>
  <c r="O49" i="39"/>
  <c r="O43" i="43"/>
  <c r="O48" i="44"/>
  <c r="O54" i="44"/>
  <c r="O29" i="46"/>
  <c r="O72" i="46"/>
  <c r="D93" i="10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O67" i="4"/>
  <c r="O72" i="7"/>
  <c r="O70" i="7"/>
  <c r="O41" i="8"/>
  <c r="O37" i="8"/>
  <c r="O53" i="22"/>
  <c r="O38" i="31"/>
  <c r="O27" i="38"/>
  <c r="O52" i="38"/>
  <c r="O53" i="46"/>
  <c r="J96" i="13"/>
  <c r="F48" i="1"/>
  <c r="F52" i="1" s="1"/>
  <c r="O30" i="3"/>
  <c r="O36" i="5"/>
  <c r="O34" i="7"/>
  <c r="O59" i="11"/>
  <c r="O35" i="22"/>
  <c r="O53" i="23"/>
  <c r="O51" i="23"/>
  <c r="O45" i="23"/>
  <c r="O29" i="23"/>
  <c r="O51" i="24"/>
  <c r="O48" i="24"/>
  <c r="O32" i="24"/>
  <c r="O69" i="25"/>
  <c r="O37" i="28"/>
  <c r="O41" i="28"/>
  <c r="O55" i="28"/>
  <c r="O29" i="29"/>
  <c r="O31" i="29"/>
  <c r="O43" i="38"/>
  <c r="O22" i="39"/>
  <c r="O28" i="39"/>
  <c r="O30" i="39"/>
  <c r="O36" i="39"/>
  <c r="O24" i="41"/>
  <c r="O54" i="42"/>
  <c r="O36" i="44"/>
  <c r="O56" i="44"/>
  <c r="O58" i="44"/>
  <c r="O23" i="45"/>
  <c r="O27" i="45"/>
  <c r="O29" i="45"/>
  <c r="O36" i="45"/>
  <c r="O52" i="45"/>
  <c r="O63" i="45"/>
  <c r="O19" i="46"/>
  <c r="O42" i="46"/>
  <c r="O44" i="46"/>
  <c r="O52" i="46"/>
  <c r="O60" i="46"/>
  <c r="O64" i="46"/>
  <c r="O70" i="46"/>
  <c r="O56" i="3"/>
  <c r="O31" i="3"/>
  <c r="O72" i="4"/>
  <c r="O68" i="4"/>
  <c r="O47" i="4"/>
  <c r="O43" i="4"/>
  <c r="O41" i="4"/>
  <c r="O37" i="4"/>
  <c r="O33" i="4"/>
  <c r="O41" i="5"/>
  <c r="O39" i="5"/>
  <c r="O71" i="7"/>
  <c r="O68" i="10"/>
  <c r="O40" i="13"/>
  <c r="O38" i="13"/>
  <c r="O60" i="22"/>
  <c r="O58" i="22"/>
  <c r="O56" i="22"/>
  <c r="O52" i="22"/>
  <c r="O50" i="22"/>
  <c r="O48" i="22"/>
  <c r="O46" i="22"/>
  <c r="O34" i="22"/>
  <c r="O32" i="22"/>
  <c r="O47" i="38"/>
  <c r="O19" i="41"/>
  <c r="O34" i="41"/>
  <c r="O36" i="41"/>
  <c r="O52" i="41"/>
  <c r="O17" i="43"/>
  <c r="O25" i="43"/>
  <c r="O27" i="43"/>
  <c r="O35" i="43"/>
  <c r="O19" i="44"/>
  <c r="O21" i="44"/>
  <c r="O66" i="46"/>
  <c r="O33" i="5"/>
  <c r="O63" i="6"/>
  <c r="O42" i="8"/>
  <c r="O48" i="11"/>
  <c r="O44" i="11"/>
  <c r="O43" i="13"/>
  <c r="O29" i="13"/>
  <c r="O31" i="24"/>
  <c r="O29" i="24"/>
  <c r="O70" i="25"/>
  <c r="O66" i="25"/>
  <c r="O41" i="27"/>
  <c r="O32" i="28"/>
  <c r="O44" i="28"/>
  <c r="O46" i="28"/>
  <c r="O48" i="28"/>
  <c r="O25" i="29"/>
  <c r="O22" i="30"/>
  <c r="O28" i="30"/>
  <c r="O21" i="39"/>
  <c r="O42" i="39"/>
  <c r="O46" i="39"/>
  <c r="O50" i="39"/>
  <c r="O62" i="39"/>
  <c r="O18" i="41"/>
  <c r="O20" i="41"/>
  <c r="O37" i="41"/>
  <c r="O51" i="41"/>
  <c r="O53" i="41"/>
  <c r="O24" i="42"/>
  <c r="O34" i="42"/>
  <c r="O34" i="43"/>
  <c r="O22" i="44"/>
  <c r="O30" i="44"/>
  <c r="O20" i="45"/>
  <c r="O39" i="45"/>
  <c r="O43" i="45"/>
  <c r="O45" i="45"/>
  <c r="O57" i="45"/>
  <c r="O64" i="45"/>
  <c r="O66" i="45"/>
  <c r="O68" i="45"/>
  <c r="O70" i="45"/>
  <c r="O20" i="46"/>
  <c r="O24" i="46"/>
  <c r="O45" i="46"/>
  <c r="O47" i="46"/>
  <c r="O61" i="46"/>
  <c r="O67" i="46"/>
  <c r="O35" i="8"/>
  <c r="O54" i="3"/>
  <c r="O47" i="5"/>
  <c r="D94" i="37"/>
  <c r="D92" i="37"/>
  <c r="B100" i="37" s="1"/>
  <c r="O70" i="3"/>
  <c r="O44" i="3"/>
  <c r="O40" i="3"/>
  <c r="O32" i="3"/>
  <c r="O45" i="4"/>
  <c r="O35" i="4"/>
  <c r="O46" i="5"/>
  <c r="O35" i="5"/>
  <c r="O62" i="6"/>
  <c r="O60" i="6"/>
  <c r="O58" i="6"/>
  <c r="O66" i="7"/>
  <c r="O62" i="7"/>
  <c r="O60" i="7"/>
  <c r="O58" i="7"/>
  <c r="O56" i="7"/>
  <c r="O43" i="7"/>
  <c r="O67" i="8"/>
  <c r="O47" i="8"/>
  <c r="O72" i="9"/>
  <c r="O50" i="9"/>
  <c r="O48" i="9"/>
  <c r="O57" i="10"/>
  <c r="O51" i="10"/>
  <c r="O41" i="10"/>
  <c r="O71" i="11"/>
  <c r="O65" i="11"/>
  <c r="O52" i="11"/>
  <c r="O47" i="11"/>
  <c r="O45" i="11"/>
  <c r="O43" i="11"/>
  <c r="O34" i="11"/>
  <c r="O32" i="11"/>
  <c r="O44" i="13"/>
  <c r="O39" i="13"/>
  <c r="O37" i="13"/>
  <c r="O32" i="13"/>
  <c r="O30" i="13"/>
  <c r="O27" i="13"/>
  <c r="O67" i="23"/>
  <c r="O56" i="23"/>
  <c r="O28" i="23"/>
  <c r="O59" i="25"/>
  <c r="O35" i="27"/>
  <c r="O50" i="27"/>
  <c r="O71" i="27"/>
  <c r="O30" i="29"/>
  <c r="O32" i="29"/>
  <c r="O34" i="31"/>
  <c r="O40" i="31"/>
  <c r="O35" i="37"/>
  <c r="O64" i="37"/>
  <c r="O51" i="38"/>
  <c r="O27" i="39"/>
  <c r="O70" i="42"/>
  <c r="O46" i="43"/>
  <c r="O21" i="46"/>
  <c r="O43" i="10"/>
  <c r="O61" i="22"/>
  <c r="O49" i="22"/>
  <c r="O28" i="22"/>
  <c r="O48" i="23"/>
  <c r="O41" i="25"/>
  <c r="O35" i="25"/>
  <c r="O31" i="25"/>
  <c r="O27" i="25"/>
  <c r="O43" i="28"/>
  <c r="O51" i="28"/>
  <c r="O22" i="29"/>
  <c r="O59" i="37"/>
  <c r="O65" i="3"/>
  <c r="O28" i="3"/>
  <c r="O69" i="4"/>
  <c r="O31" i="4"/>
  <c r="O29" i="4"/>
  <c r="O45" i="5"/>
  <c r="O43" i="5"/>
  <c r="O34" i="5"/>
  <c r="O61" i="6"/>
  <c r="O59" i="6"/>
  <c r="O41" i="6"/>
  <c r="O37" i="6"/>
  <c r="O29" i="6"/>
  <c r="O63" i="7"/>
  <c r="O61" i="7"/>
  <c r="O46" i="8"/>
  <c r="O45" i="8"/>
  <c r="O31" i="8"/>
  <c r="O29" i="8"/>
  <c r="O71" i="9"/>
  <c r="O69" i="9"/>
  <c r="O54" i="9"/>
  <c r="O54" i="10"/>
  <c r="O44" i="10"/>
  <c r="O42" i="10"/>
  <c r="O34" i="10"/>
  <c r="O68" i="11"/>
  <c r="O55" i="11"/>
  <c r="O42" i="11"/>
  <c r="O31" i="11"/>
  <c r="O72" i="13"/>
  <c r="O24" i="13"/>
  <c r="O33" i="22"/>
  <c r="O66" i="24"/>
  <c r="O57" i="24"/>
  <c r="O22" i="28"/>
  <c r="O50" i="28"/>
  <c r="O56" i="28"/>
  <c r="O28" i="29"/>
  <c r="O26" i="30"/>
  <c r="O55" i="30"/>
  <c r="O33" i="38"/>
  <c r="O55" i="44"/>
  <c r="O47" i="39"/>
  <c r="O54" i="39"/>
  <c r="O20" i="40"/>
  <c r="O55" i="40"/>
  <c r="O49" i="41"/>
  <c r="O30" i="42"/>
  <c r="O41" i="42"/>
  <c r="O47" i="42"/>
  <c r="O57" i="43"/>
  <c r="O59" i="43"/>
  <c r="O65" i="43"/>
  <c r="O67" i="43"/>
  <c r="O23" i="44"/>
  <c r="O27" i="44"/>
  <c r="O31" i="44"/>
  <c r="O38" i="44"/>
  <c r="O40" i="44"/>
  <c r="O42" i="44"/>
  <c r="O46" i="44"/>
  <c r="O66" i="44"/>
  <c r="O17" i="45"/>
  <c r="O22" i="45"/>
  <c r="O30" i="45"/>
  <c r="O38" i="45"/>
  <c r="O46" i="45"/>
  <c r="O53" i="45"/>
  <c r="O36" i="46"/>
  <c r="O50" i="46"/>
  <c r="O38" i="29"/>
  <c r="O44" i="29"/>
  <c r="O55" i="29"/>
  <c r="O68" i="29"/>
  <c r="O72" i="29"/>
  <c r="O34" i="30"/>
  <c r="O36" i="30"/>
  <c r="O38" i="30"/>
  <c r="O44" i="30"/>
  <c r="O46" i="30"/>
  <c r="O48" i="30"/>
  <c r="O71" i="30"/>
  <c r="O29" i="31"/>
  <c r="O46" i="31"/>
  <c r="O58" i="31"/>
  <c r="O29" i="37"/>
  <c r="O31" i="37"/>
  <c r="O44" i="37"/>
  <c r="O46" i="37"/>
  <c r="O48" i="37"/>
  <c r="O61" i="37"/>
  <c r="O24" i="38"/>
  <c r="O41" i="38"/>
  <c r="O48" i="38"/>
  <c r="O55" i="38"/>
  <c r="O64" i="38"/>
  <c r="O66" i="38"/>
  <c r="O29" i="39"/>
  <c r="O66" i="39"/>
  <c r="O60" i="41"/>
  <c r="O69" i="42"/>
  <c r="O24" i="43"/>
  <c r="O30" i="43"/>
  <c r="O50" i="43"/>
  <c r="O35" i="44"/>
  <c r="O59" i="44"/>
  <c r="O70" i="44"/>
  <c r="O24" i="45"/>
  <c r="O32" i="45"/>
  <c r="O40" i="45"/>
  <c r="O48" i="45"/>
  <c r="O50" i="45"/>
  <c r="O69" i="45"/>
  <c r="O27" i="46"/>
  <c r="O40" i="46"/>
  <c r="O27" i="30"/>
  <c r="O72" i="30"/>
  <c r="O25" i="38"/>
  <c r="O36" i="38"/>
  <c r="O42" i="38"/>
  <c r="O49" i="38"/>
  <c r="O56" i="38"/>
  <c r="O65" i="39"/>
  <c r="O48" i="40"/>
  <c r="O32" i="41"/>
  <c r="O39" i="41"/>
  <c r="O41" i="41"/>
  <c r="O43" i="41"/>
  <c r="O27" i="42"/>
  <c r="O52" i="42"/>
  <c r="O56" i="42"/>
  <c r="O62" i="42"/>
  <c r="O42" i="43"/>
  <c r="O58" i="43"/>
  <c r="O66" i="43"/>
  <c r="O17" i="44"/>
  <c r="O24" i="44"/>
  <c r="O26" i="44"/>
  <c r="O32" i="44"/>
  <c r="O39" i="44"/>
  <c r="O43" i="44"/>
  <c r="O45" i="44"/>
  <c r="O47" i="44"/>
  <c r="O51" i="44"/>
  <c r="O63" i="44"/>
  <c r="O71" i="44"/>
  <c r="O18" i="45"/>
  <c r="O26" i="45"/>
  <c r="O34" i="45"/>
  <c r="O42" i="45"/>
  <c r="O54" i="45"/>
  <c r="O56" i="45"/>
  <c r="O48" i="46"/>
  <c r="O63" i="46"/>
  <c r="C105" i="37"/>
  <c r="C106" i="37" s="1"/>
  <c r="C107" i="37" s="1"/>
  <c r="C108" i="37" s="1"/>
  <c r="C109" i="37" s="1"/>
  <c r="C110" i="37" s="1"/>
  <c r="C111" i="37" s="1"/>
  <c r="C112" i="37" s="1"/>
  <c r="C113" i="37" s="1"/>
  <c r="C114" i="37" s="1"/>
  <c r="C115" i="37" s="1"/>
  <c r="C116" i="37" s="1"/>
  <c r="C117" i="37" s="1"/>
  <c r="C118" i="37" s="1"/>
  <c r="C119" i="37" s="1"/>
  <c r="C120" i="37" s="1"/>
  <c r="C121" i="37" s="1"/>
  <c r="C122" i="37" s="1"/>
  <c r="C123" i="37" s="1"/>
  <c r="C124" i="37" s="1"/>
  <c r="C125" i="37" s="1"/>
  <c r="C126" i="37" s="1"/>
  <c r="C127" i="37" s="1"/>
  <c r="C128" i="37" s="1"/>
  <c r="C129" i="37" s="1"/>
  <c r="C130" i="37" s="1"/>
  <c r="C131" i="37" s="1"/>
  <c r="C132" i="37" s="1"/>
  <c r="C133" i="37" s="1"/>
  <c r="C134" i="37" s="1"/>
  <c r="C135" i="37" s="1"/>
  <c r="C136" i="37" s="1"/>
  <c r="C137" i="37" s="1"/>
  <c r="C138" i="37" s="1"/>
  <c r="C139" i="37" s="1"/>
  <c r="C140" i="37" s="1"/>
  <c r="C141" i="37" s="1"/>
  <c r="C142" i="37" s="1"/>
  <c r="C143" i="37" s="1"/>
  <c r="C144" i="37" s="1"/>
  <c r="C145" i="37" s="1"/>
  <c r="C146" i="37" s="1"/>
  <c r="C147" i="37" s="1"/>
  <c r="C148" i="37" s="1"/>
  <c r="C149" i="37" s="1"/>
  <c r="C150" i="37" s="1"/>
  <c r="C151" i="37" s="1"/>
  <c r="C152" i="37" s="1"/>
  <c r="C153" i="37" s="1"/>
  <c r="C154" i="37" s="1"/>
  <c r="C99" i="38"/>
  <c r="D94" i="39"/>
  <c r="C100" i="30"/>
  <c r="C101" i="30" s="1"/>
  <c r="C102" i="30" s="1"/>
  <c r="C103" i="30" s="1"/>
  <c r="C104" i="30" s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117" i="30" s="1"/>
  <c r="C118" i="30" s="1"/>
  <c r="C119" i="30" s="1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C138" i="30" s="1"/>
  <c r="C139" i="30" s="1"/>
  <c r="C140" i="30" s="1"/>
  <c r="C141" i="30" s="1"/>
  <c r="C142" i="30" s="1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D94" i="30"/>
  <c r="D93" i="22"/>
  <c r="D93" i="31"/>
  <c r="C99" i="5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99" i="23"/>
  <c r="C100" i="23" s="1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C127" i="23" s="1"/>
  <c r="C128" i="23" s="1"/>
  <c r="C129" i="23" s="1"/>
  <c r="C130" i="23" s="1"/>
  <c r="C131" i="23" s="1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D100" i="13"/>
  <c r="B100" i="13" s="1"/>
  <c r="P130" i="31"/>
  <c r="P104" i="41"/>
  <c r="P120" i="11"/>
  <c r="P104" i="28"/>
  <c r="P116" i="28"/>
  <c r="P126" i="28"/>
  <c r="P126" i="31"/>
  <c r="P102" i="39"/>
  <c r="P104" i="39"/>
  <c r="P106" i="39"/>
  <c r="P114" i="39"/>
  <c r="P120" i="39"/>
  <c r="P124" i="39"/>
  <c r="P126" i="39"/>
  <c r="P128" i="39"/>
  <c r="P130" i="39"/>
  <c r="P100" i="40"/>
  <c r="P102" i="40"/>
  <c r="P106" i="40"/>
  <c r="P128" i="40"/>
  <c r="P110" i="41"/>
  <c r="P112" i="41"/>
  <c r="P114" i="41"/>
  <c r="P116" i="41"/>
  <c r="P118" i="41"/>
  <c r="P100" i="42"/>
  <c r="P102" i="42"/>
  <c r="P114" i="42"/>
  <c r="P126" i="42"/>
  <c r="P128" i="42"/>
  <c r="P130" i="42"/>
  <c r="P110" i="43"/>
  <c r="P109" i="44"/>
  <c r="P125" i="44"/>
  <c r="P137" i="3"/>
  <c r="P113" i="3"/>
  <c r="P111" i="3"/>
  <c r="P109" i="3"/>
  <c r="P139" i="4"/>
  <c r="P135" i="4"/>
  <c r="P133" i="4"/>
  <c r="P127" i="4"/>
  <c r="P125" i="4"/>
  <c r="P123" i="4"/>
  <c r="P115" i="4"/>
  <c r="P133" i="7"/>
  <c r="P138" i="8"/>
  <c r="P136" i="8"/>
  <c r="P134" i="8"/>
  <c r="P132" i="8"/>
  <c r="P130" i="8"/>
  <c r="P128" i="8"/>
  <c r="P124" i="8"/>
  <c r="P122" i="8"/>
  <c r="P120" i="8"/>
  <c r="P118" i="8"/>
  <c r="P116" i="8"/>
  <c r="P112" i="8"/>
  <c r="P110" i="8"/>
  <c r="P152" i="10"/>
  <c r="P125" i="13"/>
  <c r="P126" i="22"/>
  <c r="P151" i="4"/>
  <c r="P149" i="4"/>
  <c r="P141" i="4"/>
  <c r="P109" i="4"/>
  <c r="P126" i="8"/>
  <c r="P134" i="3"/>
  <c r="P130" i="3"/>
  <c r="P132" i="7"/>
  <c r="P118" i="28"/>
  <c r="P118" i="39"/>
  <c r="P122" i="39"/>
  <c r="P104" i="40"/>
  <c r="P120" i="40"/>
  <c r="P104" i="42"/>
  <c r="P119" i="22"/>
  <c r="P118" i="9"/>
  <c r="P130" i="11"/>
  <c r="P124" i="46"/>
  <c r="P117" i="5"/>
  <c r="P126" i="24"/>
  <c r="P122" i="24"/>
  <c r="P114" i="24"/>
  <c r="P112" i="24"/>
  <c r="P108" i="24"/>
  <c r="P129" i="22"/>
  <c r="P125" i="22"/>
  <c r="P117" i="22"/>
  <c r="P115" i="22"/>
  <c r="P117" i="25"/>
  <c r="P112" i="27"/>
  <c r="P122" i="27"/>
  <c r="P111" i="29"/>
  <c r="P117" i="29"/>
  <c r="P129" i="29"/>
  <c r="P118" i="30"/>
  <c r="P126" i="30"/>
  <c r="P106" i="38"/>
  <c r="P108" i="38"/>
  <c r="P112" i="38"/>
  <c r="P114" i="38"/>
  <c r="P116" i="38"/>
  <c r="P118" i="38"/>
  <c r="P122" i="38"/>
  <c r="P124" i="38"/>
  <c r="P128" i="5"/>
  <c r="P126" i="5"/>
  <c r="P120" i="5"/>
  <c r="P118" i="5"/>
  <c r="P116" i="5"/>
  <c r="P128" i="11"/>
  <c r="P126" i="11"/>
  <c r="P124" i="11"/>
  <c r="P122" i="11"/>
  <c r="P118" i="11"/>
  <c r="P114" i="11"/>
  <c r="P112" i="11"/>
  <c r="P125" i="24"/>
  <c r="P119" i="24"/>
  <c r="P117" i="24"/>
  <c r="P115" i="24"/>
  <c r="P113" i="24"/>
  <c r="P111" i="24"/>
  <c r="P109" i="24"/>
  <c r="P101" i="37"/>
  <c r="P109" i="37"/>
  <c r="P154" i="3"/>
  <c r="P150" i="3"/>
  <c r="P146" i="3"/>
  <c r="P144" i="3"/>
  <c r="P142" i="3"/>
  <c r="P140" i="3"/>
  <c r="P136" i="3"/>
  <c r="P132" i="3"/>
  <c r="P128" i="3"/>
  <c r="P126" i="3"/>
  <c r="P124" i="3"/>
  <c r="P120" i="3"/>
  <c r="P112" i="3"/>
  <c r="P150" i="7"/>
  <c r="P138" i="7"/>
  <c r="P128" i="7"/>
  <c r="P126" i="7"/>
  <c r="P122" i="7"/>
  <c r="P114" i="7"/>
  <c r="P137" i="8"/>
  <c r="P137" i="10"/>
  <c r="P126" i="13"/>
  <c r="P117" i="23"/>
  <c r="P129" i="25"/>
  <c r="P123" i="25"/>
  <c r="P115" i="25"/>
  <c r="P117" i="28"/>
  <c r="P122" i="37"/>
  <c r="P128" i="37"/>
  <c r="P105" i="39"/>
  <c r="P115" i="39"/>
  <c r="P101" i="40"/>
  <c r="P105" i="40"/>
  <c r="P109" i="40"/>
  <c r="P113" i="40"/>
  <c r="P127" i="40"/>
  <c r="P129" i="40"/>
  <c r="P109" i="27"/>
  <c r="P110" i="29"/>
  <c r="P109" i="38"/>
  <c r="P111" i="38"/>
  <c r="P113" i="38"/>
  <c r="P117" i="38"/>
  <c r="P119" i="38"/>
  <c r="P123" i="38"/>
  <c r="P109" i="42"/>
  <c r="P108" i="28"/>
  <c r="P114" i="28"/>
  <c r="P124" i="28"/>
  <c r="P128" i="28"/>
  <c r="P104" i="31"/>
  <c r="P116" i="31"/>
  <c r="P120" i="31"/>
  <c r="P124" i="31"/>
  <c r="P128" i="31"/>
  <c r="P103" i="37"/>
  <c r="P105" i="37"/>
  <c r="P107" i="37"/>
  <c r="P111" i="37"/>
  <c r="P113" i="37"/>
  <c r="P115" i="37"/>
  <c r="P119" i="37"/>
  <c r="P125" i="37"/>
  <c r="P129" i="37"/>
  <c r="P126" i="45"/>
  <c r="P101" i="46"/>
  <c r="P129" i="46"/>
  <c r="J92" i="46"/>
  <c r="P105" i="28"/>
  <c r="P111" i="28"/>
  <c r="P111" i="40"/>
  <c r="P121" i="40"/>
  <c r="P102" i="37"/>
  <c r="P125" i="9"/>
  <c r="P115" i="31"/>
  <c r="P110" i="37"/>
  <c r="P114" i="37"/>
  <c r="P118" i="37"/>
  <c r="P126" i="37"/>
  <c r="P149" i="7"/>
  <c r="P145" i="7"/>
  <c r="P141" i="7"/>
  <c r="P137" i="7"/>
  <c r="P117" i="7"/>
  <c r="P105" i="27"/>
  <c r="P111" i="27"/>
  <c r="P113" i="27"/>
  <c r="P115" i="27"/>
  <c r="P119" i="27"/>
  <c r="P121" i="27"/>
  <c r="P125" i="27"/>
  <c r="P127" i="27"/>
  <c r="P129" i="27"/>
  <c r="P106" i="29"/>
  <c r="P108" i="29"/>
  <c r="P116" i="29"/>
  <c r="P118" i="29"/>
  <c r="P120" i="29"/>
  <c r="P118" i="31"/>
  <c r="P122" i="44"/>
  <c r="P104" i="37"/>
  <c r="P108" i="37"/>
  <c r="P120" i="37"/>
  <c r="P124" i="37"/>
  <c r="P130" i="37"/>
  <c r="P148" i="3"/>
  <c r="P138" i="3"/>
  <c r="P122" i="3"/>
  <c r="P110" i="3"/>
  <c r="P144" i="4"/>
  <c r="P140" i="4"/>
  <c r="P136" i="4"/>
  <c r="P124" i="4"/>
  <c r="P129" i="10"/>
  <c r="P127" i="10"/>
  <c r="P125" i="10"/>
  <c r="P123" i="10"/>
  <c r="P121" i="10"/>
  <c r="P119" i="10"/>
  <c r="P117" i="10"/>
  <c r="P115" i="10"/>
  <c r="P130" i="13"/>
  <c r="P128" i="13"/>
  <c r="P120" i="13"/>
  <c r="P116" i="13"/>
  <c r="P114" i="13"/>
  <c r="P112" i="13"/>
  <c r="P110" i="13"/>
  <c r="P108" i="13"/>
  <c r="P106" i="13"/>
  <c r="P104" i="13"/>
  <c r="P102" i="13"/>
  <c r="P100" i="13"/>
  <c r="P118" i="27"/>
  <c r="P124" i="27"/>
  <c r="P112" i="30"/>
  <c r="P116" i="30"/>
  <c r="P120" i="30"/>
  <c r="P124" i="30"/>
  <c r="P128" i="30"/>
  <c r="P100" i="41"/>
  <c r="P106" i="41"/>
  <c r="P122" i="41"/>
  <c r="P107" i="44"/>
  <c r="P111" i="44"/>
  <c r="C99" i="1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C45" i="5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45" i="37"/>
  <c r="C46" i="37" s="1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C45" i="1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N87" i="11"/>
  <c r="C45" i="7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45" i="40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N87" i="41"/>
  <c r="C45" i="41"/>
  <c r="C46" i="41" s="1"/>
  <c r="C47" i="41" s="1"/>
  <c r="C48" i="41" s="1"/>
  <c r="C49" i="41" s="1"/>
  <c r="C50" i="41" s="1"/>
  <c r="C51" i="41" s="1"/>
  <c r="C52" i="41" s="1"/>
  <c r="C53" i="41" s="1"/>
  <c r="C54" i="41" s="1"/>
  <c r="C55" i="41" s="1"/>
  <c r="C56" i="41" s="1"/>
  <c r="C57" i="41" s="1"/>
  <c r="C58" i="41" s="1"/>
  <c r="C59" i="41" s="1"/>
  <c r="C60" i="41" s="1"/>
  <c r="C61" i="41" s="1"/>
  <c r="C62" i="41" s="1"/>
  <c r="C63" i="41" s="1"/>
  <c r="C64" i="41" s="1"/>
  <c r="C65" i="41" s="1"/>
  <c r="C66" i="41" s="1"/>
  <c r="C67" i="41" s="1"/>
  <c r="C68" i="41" s="1"/>
  <c r="C69" i="41" s="1"/>
  <c r="C70" i="41" s="1"/>
  <c r="C71" i="41" s="1"/>
  <c r="C72" i="41" s="1"/>
  <c r="M87" i="41"/>
  <c r="C45" i="42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D94" i="11"/>
  <c r="C99" i="4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B30" i="10"/>
  <c r="F20" i="1"/>
  <c r="D93" i="29"/>
  <c r="C99" i="31"/>
  <c r="C100" i="31" s="1"/>
  <c r="C101" i="31" s="1"/>
  <c r="C102" i="31" s="1"/>
  <c r="C103" i="31" s="1"/>
  <c r="C104" i="31" s="1"/>
  <c r="C105" i="31" s="1"/>
  <c r="C106" i="31" s="1"/>
  <c r="C107" i="31" s="1"/>
  <c r="C108" i="31" s="1"/>
  <c r="C109" i="31" s="1"/>
  <c r="C110" i="31" s="1"/>
  <c r="C111" i="31" s="1"/>
  <c r="C112" i="31" s="1"/>
  <c r="C113" i="31" s="1"/>
  <c r="C114" i="31" s="1"/>
  <c r="C115" i="31" s="1"/>
  <c r="C116" i="31" s="1"/>
  <c r="C117" i="31" s="1"/>
  <c r="C118" i="31" s="1"/>
  <c r="C119" i="31" s="1"/>
  <c r="C120" i="31" s="1"/>
  <c r="C121" i="31" s="1"/>
  <c r="C122" i="31" s="1"/>
  <c r="C123" i="31" s="1"/>
  <c r="C124" i="31" s="1"/>
  <c r="C125" i="31" s="1"/>
  <c r="C126" i="31" s="1"/>
  <c r="C127" i="31" s="1"/>
  <c r="C128" i="31" s="1"/>
  <c r="C129" i="31" s="1"/>
  <c r="C130" i="31" s="1"/>
  <c r="C131" i="31" s="1"/>
  <c r="C132" i="31" s="1"/>
  <c r="C133" i="31" s="1"/>
  <c r="C134" i="31" s="1"/>
  <c r="C135" i="31" s="1"/>
  <c r="C136" i="31" s="1"/>
  <c r="C137" i="31" s="1"/>
  <c r="C138" i="31" s="1"/>
  <c r="C139" i="31" s="1"/>
  <c r="C140" i="31" s="1"/>
  <c r="C141" i="31" s="1"/>
  <c r="C142" i="31" s="1"/>
  <c r="C143" i="31" s="1"/>
  <c r="C144" i="31" s="1"/>
  <c r="C145" i="31" s="1"/>
  <c r="C146" i="31" s="1"/>
  <c r="C147" i="31" s="1"/>
  <c r="C148" i="31" s="1"/>
  <c r="C149" i="31" s="1"/>
  <c r="C150" i="31" s="1"/>
  <c r="C151" i="31" s="1"/>
  <c r="C152" i="31" s="1"/>
  <c r="C153" i="31" s="1"/>
  <c r="C154" i="31" s="1"/>
  <c r="C45" i="22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45" i="10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B24" i="24"/>
  <c r="B18" i="42"/>
  <c r="D94" i="9"/>
  <c r="D93" i="9"/>
  <c r="D94" i="8"/>
  <c r="D93" i="8"/>
  <c r="D93" i="7"/>
  <c r="D94" i="7"/>
  <c r="O18" i="24"/>
  <c r="O19" i="8"/>
  <c r="B28" i="8"/>
  <c r="B26" i="22"/>
  <c r="D13" i="5"/>
  <c r="I14" i="5" s="1"/>
  <c r="O59" i="3"/>
  <c r="O49" i="3"/>
  <c r="O49" i="4"/>
  <c r="F19" i="2"/>
  <c r="O20" i="3"/>
  <c r="C100" i="3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P99" i="9"/>
  <c r="O39" i="9"/>
  <c r="O70" i="10"/>
  <c r="O64" i="10"/>
  <c r="O18" i="11"/>
  <c r="O67" i="13"/>
  <c r="O17" i="13"/>
  <c r="O63" i="22"/>
  <c r="O45" i="22"/>
  <c r="P100" i="8"/>
  <c r="O47" i="7"/>
  <c r="O18" i="7"/>
  <c r="P100" i="9"/>
  <c r="P100" i="10"/>
  <c r="O48" i="10"/>
  <c r="O66" i="11"/>
  <c r="O53" i="11"/>
  <c r="O46" i="11"/>
  <c r="O35" i="11"/>
  <c r="O29" i="11"/>
  <c r="O57" i="22"/>
  <c r="P124" i="6"/>
  <c r="P118" i="6"/>
  <c r="O17" i="22"/>
  <c r="O21" i="6"/>
  <c r="P112" i="5"/>
  <c r="P110" i="5"/>
  <c r="P153" i="6"/>
  <c r="P151" i="6"/>
  <c r="P149" i="6"/>
  <c r="P143" i="6"/>
  <c r="P137" i="6"/>
  <c r="P117" i="6"/>
  <c r="P115" i="6"/>
  <c r="P113" i="6"/>
  <c r="P111" i="6"/>
  <c r="P151" i="8"/>
  <c r="P147" i="8"/>
  <c r="P145" i="8"/>
  <c r="P141" i="8"/>
  <c r="P139" i="8"/>
  <c r="P133" i="8"/>
  <c r="P131" i="8"/>
  <c r="P154" i="10"/>
  <c r="P150" i="10"/>
  <c r="P148" i="10"/>
  <c r="P144" i="10"/>
  <c r="P142" i="10"/>
  <c r="P140" i="10"/>
  <c r="P136" i="10"/>
  <c r="P118" i="10"/>
  <c r="P129" i="11"/>
  <c r="P117" i="11"/>
  <c r="P119" i="13"/>
  <c r="P109" i="13"/>
  <c r="P101" i="13"/>
  <c r="P127" i="23"/>
  <c r="P119" i="23"/>
  <c r="P107" i="23"/>
  <c r="O44" i="23"/>
  <c r="O58" i="24"/>
  <c r="O21" i="8"/>
  <c r="O22" i="9"/>
  <c r="O23" i="10"/>
  <c r="O31" i="27"/>
  <c r="O48" i="27"/>
  <c r="O69" i="27"/>
  <c r="P154" i="7"/>
  <c r="P152" i="7"/>
  <c r="P146" i="7"/>
  <c r="P144" i="7"/>
  <c r="P142" i="7"/>
  <c r="P140" i="7"/>
  <c r="P136" i="7"/>
  <c r="P124" i="7"/>
  <c r="P116" i="7"/>
  <c r="P122" i="23"/>
  <c r="P118" i="23"/>
  <c r="P110" i="23"/>
  <c r="O49" i="23"/>
  <c r="O26" i="23"/>
  <c r="O68" i="24"/>
  <c r="O45" i="24"/>
  <c r="O43" i="24"/>
  <c r="O67" i="25"/>
  <c r="O46" i="25"/>
  <c r="O22" i="11"/>
  <c r="O19" i="22"/>
  <c r="P119" i="25"/>
  <c r="I12" i="46"/>
  <c r="I12" i="45"/>
  <c r="I12" i="43"/>
  <c r="I13" i="43" s="1"/>
  <c r="P114" i="27"/>
  <c r="P116" i="27"/>
  <c r="P120" i="27"/>
  <c r="P126" i="27"/>
  <c r="P128" i="27"/>
  <c r="P130" i="27"/>
  <c r="O23" i="11"/>
  <c r="P104" i="6"/>
  <c r="O19" i="24"/>
  <c r="O21" i="25"/>
  <c r="O18" i="29"/>
  <c r="O17" i="30"/>
  <c r="O23" i="37"/>
  <c r="O42" i="37"/>
  <c r="P100" i="28"/>
  <c r="I12" i="44"/>
  <c r="J94" i="46"/>
  <c r="J95" i="46" s="1"/>
  <c r="J94" i="45"/>
  <c r="J95" i="45" s="1"/>
  <c r="J94" i="44"/>
  <c r="J95" i="44" s="1"/>
  <c r="O19" i="23"/>
  <c r="P103" i="25"/>
  <c r="O39" i="37"/>
  <c r="P109" i="28"/>
  <c r="P113" i="28"/>
  <c r="P119" i="28"/>
  <c r="P125" i="28"/>
  <c r="P113" i="29"/>
  <c r="P119" i="29"/>
  <c r="P121" i="29"/>
  <c r="P108" i="10"/>
  <c r="O22" i="23"/>
  <c r="O21" i="24"/>
  <c r="O19" i="28"/>
  <c r="O18" i="30"/>
  <c r="P100" i="31"/>
  <c r="O42" i="41"/>
  <c r="O54" i="41"/>
  <c r="P106" i="3"/>
  <c r="O28" i="7"/>
  <c r="O26" i="8"/>
  <c r="O68" i="40"/>
  <c r="P105" i="3"/>
  <c r="O25" i="6"/>
  <c r="O25" i="8"/>
  <c r="P107" i="9"/>
  <c r="P104" i="22"/>
  <c r="O20" i="27"/>
  <c r="P100" i="29"/>
  <c r="O62" i="41"/>
  <c r="O66" i="41"/>
  <c r="O18" i="42"/>
  <c r="P107" i="6"/>
  <c r="O25" i="25"/>
  <c r="P106" i="28"/>
  <c r="P112" i="28"/>
  <c r="P122" i="28"/>
  <c r="O37" i="38"/>
  <c r="O57" i="38"/>
  <c r="O29" i="42"/>
  <c r="O27" i="6"/>
  <c r="P101" i="30"/>
  <c r="P108" i="6"/>
  <c r="P110" i="7"/>
  <c r="P109" i="11"/>
  <c r="O21" i="31"/>
  <c r="O33" i="43"/>
  <c r="O18" i="44"/>
  <c r="P128" i="38"/>
  <c r="P130" i="38"/>
  <c r="P101" i="41"/>
  <c r="P127" i="41"/>
  <c r="P101" i="42"/>
  <c r="P113" i="42"/>
  <c r="P119" i="42"/>
  <c r="P123" i="42"/>
  <c r="P105" i="25"/>
  <c r="P101" i="28"/>
  <c r="P107" i="4"/>
  <c r="P109" i="9"/>
  <c r="P105" i="23"/>
  <c r="O21" i="29"/>
  <c r="P106" i="43"/>
  <c r="P112" i="43"/>
  <c r="P116" i="43"/>
  <c r="P122" i="43"/>
  <c r="O28" i="44"/>
  <c r="O50" i="44"/>
  <c r="O60" i="44"/>
  <c r="O67" i="44"/>
  <c r="O61" i="45"/>
  <c r="O23" i="46"/>
  <c r="O37" i="46"/>
  <c r="O29" i="44"/>
  <c r="O64" i="44"/>
  <c r="O65" i="45"/>
  <c r="O31" i="46"/>
  <c r="C18" i="45"/>
  <c r="C19" i="45" s="1"/>
  <c r="C20" i="45" s="1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P123" i="46"/>
  <c r="P122" i="45"/>
  <c r="P125" i="46"/>
  <c r="P120" i="28"/>
  <c r="P124" i="43"/>
  <c r="P114" i="45"/>
  <c r="P116" i="45"/>
  <c r="P118" i="45"/>
  <c r="P120" i="45"/>
  <c r="P128" i="45"/>
  <c r="P118" i="3"/>
  <c r="P148" i="6"/>
  <c r="P140" i="6"/>
  <c r="P112" i="7"/>
  <c r="P130" i="9"/>
  <c r="P126" i="9"/>
  <c r="P124" i="9"/>
  <c r="P120" i="9"/>
  <c r="P116" i="9"/>
  <c r="P114" i="9"/>
  <c r="P112" i="9"/>
  <c r="P124" i="22"/>
  <c r="P122" i="22"/>
  <c r="P125" i="25"/>
  <c r="P130" i="28"/>
  <c r="P115" i="44"/>
  <c r="P119" i="44"/>
  <c r="P121" i="44"/>
  <c r="P123" i="44"/>
  <c r="P127" i="44"/>
  <c r="P129" i="44"/>
  <c r="P123" i="28"/>
  <c r="P127" i="28"/>
  <c r="P122" i="29"/>
  <c r="P124" i="29"/>
  <c r="P126" i="29"/>
  <c r="P130" i="29"/>
  <c r="P107" i="30"/>
  <c r="P109" i="30"/>
  <c r="P113" i="30"/>
  <c r="P117" i="30"/>
  <c r="P119" i="30"/>
  <c r="P123" i="30"/>
  <c r="P125" i="30"/>
  <c r="P127" i="30"/>
  <c r="P129" i="30"/>
  <c r="P105" i="31"/>
  <c r="P107" i="31"/>
  <c r="P109" i="31"/>
  <c r="P119" i="43"/>
  <c r="P123" i="43"/>
  <c r="P149" i="3"/>
  <c r="P130" i="46"/>
  <c r="P147" i="3"/>
  <c r="P145" i="3"/>
  <c r="P143" i="3"/>
  <c r="P135" i="3"/>
  <c r="P133" i="3"/>
  <c r="P131" i="3"/>
  <c r="P127" i="3"/>
  <c r="P125" i="3"/>
  <c r="P121" i="3"/>
  <c r="P117" i="3"/>
  <c r="P115" i="3"/>
  <c r="P154" i="4"/>
  <c r="P152" i="4"/>
  <c r="P150" i="4"/>
  <c r="P148" i="4"/>
  <c r="P130" i="4"/>
  <c r="P122" i="4"/>
  <c r="P118" i="4"/>
  <c r="P116" i="4"/>
  <c r="P114" i="4"/>
  <c r="P112" i="4"/>
  <c r="P110" i="4"/>
  <c r="P142" i="5"/>
  <c r="P140" i="5"/>
  <c r="P136" i="5"/>
  <c r="P130" i="5"/>
  <c r="P148" i="7"/>
  <c r="P153" i="8"/>
  <c r="P130" i="10"/>
  <c r="P116" i="10"/>
  <c r="P127" i="11"/>
  <c r="P119" i="11"/>
  <c r="P115" i="11"/>
  <c r="P113" i="11"/>
  <c r="P111" i="13"/>
  <c r="P103" i="13"/>
  <c r="P116" i="22"/>
  <c r="P114" i="22"/>
  <c r="P110" i="22"/>
  <c r="P116" i="23"/>
  <c r="P120" i="25"/>
  <c r="P116" i="25"/>
  <c r="P114" i="25"/>
  <c r="P110" i="25"/>
  <c r="P110" i="28"/>
  <c r="P103" i="41"/>
  <c r="P105" i="41"/>
  <c r="P107" i="41"/>
  <c r="P111" i="41"/>
  <c r="P113" i="41"/>
  <c r="P125" i="41"/>
  <c r="P129" i="41"/>
  <c r="P105" i="42"/>
  <c r="P121" i="42"/>
  <c r="P127" i="42"/>
  <c r="P102" i="43"/>
  <c r="P104" i="43"/>
  <c r="P114" i="43"/>
  <c r="P118" i="43"/>
  <c r="P127" i="43"/>
  <c r="P99" i="44"/>
  <c r="P100" i="44"/>
  <c r="P102" i="44"/>
  <c r="P103" i="44"/>
  <c r="P104" i="44"/>
  <c r="P106" i="44"/>
  <c r="P108" i="44"/>
  <c r="P110" i="44"/>
  <c r="P112" i="44"/>
  <c r="P114" i="44"/>
  <c r="P116" i="44"/>
  <c r="P120" i="44"/>
  <c r="P128" i="44"/>
  <c r="P130" i="44"/>
  <c r="P100" i="46"/>
  <c r="P106" i="46"/>
  <c r="P108" i="46"/>
  <c r="P120" i="46"/>
  <c r="P126" i="46"/>
  <c r="P145" i="4"/>
  <c r="P123" i="7"/>
  <c r="P121" i="7"/>
  <c r="P119" i="7"/>
  <c r="P113" i="7"/>
  <c r="P154" i="8"/>
  <c r="P150" i="8"/>
  <c r="P146" i="8"/>
  <c r="P144" i="8"/>
  <c r="P142" i="8"/>
  <c r="P121" i="9"/>
  <c r="P119" i="9"/>
  <c r="P115" i="9"/>
  <c r="P111" i="9"/>
  <c r="P107" i="39"/>
  <c r="P123" i="39"/>
  <c r="P127" i="39"/>
  <c r="P120" i="41"/>
  <c r="P124" i="41"/>
  <c r="P126" i="41"/>
  <c r="P128" i="41"/>
  <c r="P130" i="41"/>
  <c r="P106" i="42"/>
  <c r="P108" i="42"/>
  <c r="P110" i="42"/>
  <c r="P118" i="42"/>
  <c r="P120" i="42"/>
  <c r="P122" i="42"/>
  <c r="P99" i="46"/>
  <c r="P117" i="46"/>
  <c r="P147" i="4"/>
  <c r="P147" i="6"/>
  <c r="P145" i="6"/>
  <c r="P141" i="6"/>
  <c r="P139" i="6"/>
  <c r="P135" i="6"/>
  <c r="P133" i="6"/>
  <c r="P131" i="6"/>
  <c r="P129" i="6"/>
  <c r="P127" i="6"/>
  <c r="P125" i="6"/>
  <c r="P123" i="6"/>
  <c r="P121" i="6"/>
  <c r="P145" i="10"/>
  <c r="P112" i="22"/>
  <c r="P111" i="31"/>
  <c r="P117" i="31"/>
  <c r="P119" i="31"/>
  <c r="P121" i="31"/>
  <c r="P129" i="31"/>
  <c r="P102" i="38"/>
  <c r="P104" i="38"/>
  <c r="P126" i="38"/>
  <c r="P110" i="39"/>
  <c r="P112" i="39"/>
  <c r="P116" i="39"/>
  <c r="P115" i="42"/>
  <c r="P117" i="42"/>
  <c r="P109" i="46"/>
  <c r="P152" i="3"/>
  <c r="P116" i="3"/>
  <c r="P114" i="3"/>
  <c r="P137" i="4"/>
  <c r="P141" i="5"/>
  <c r="P149" i="8"/>
  <c r="P127" i="9"/>
  <c r="P121" i="22"/>
  <c r="P129" i="23"/>
  <c r="P125" i="23"/>
  <c r="P123" i="23"/>
  <c r="P121" i="23"/>
  <c r="P113" i="23"/>
  <c r="P108" i="27"/>
  <c r="P152" i="5"/>
  <c r="P148" i="5"/>
  <c r="P138" i="5"/>
  <c r="P134" i="5"/>
  <c r="P132" i="5"/>
  <c r="P127" i="5"/>
  <c r="P121" i="5"/>
  <c r="P119" i="5"/>
  <c r="P115" i="5"/>
  <c r="P152" i="6"/>
  <c r="P153" i="7"/>
  <c r="P143" i="7"/>
  <c r="P139" i="7"/>
  <c r="P125" i="7"/>
  <c r="P120" i="7"/>
  <c r="P118" i="7"/>
  <c r="P152" i="8"/>
  <c r="P148" i="8"/>
  <c r="P140" i="8"/>
  <c r="P129" i="8"/>
  <c r="P115" i="8"/>
  <c r="P128" i="9"/>
  <c r="P122" i="9"/>
  <c r="P146" i="10"/>
  <c r="P128" i="22"/>
  <c r="P120" i="22"/>
  <c r="P118" i="22"/>
  <c r="P101" i="38"/>
  <c r="P103" i="38"/>
  <c r="P105" i="38"/>
  <c r="P127" i="38"/>
  <c r="P129" i="38"/>
  <c r="P101" i="39"/>
  <c r="P103" i="39"/>
  <c r="P111" i="39"/>
  <c r="P117" i="39"/>
  <c r="P119" i="39"/>
  <c r="P121" i="39"/>
  <c r="P125" i="39"/>
  <c r="P129" i="39"/>
  <c r="P108" i="40"/>
  <c r="P110" i="40"/>
  <c r="P112" i="40"/>
  <c r="P114" i="40"/>
  <c r="P116" i="40"/>
  <c r="P118" i="40"/>
  <c r="P122" i="40"/>
  <c r="P115" i="41"/>
  <c r="P117" i="41"/>
  <c r="P119" i="45"/>
  <c r="M87" i="45"/>
  <c r="L86" i="45"/>
  <c r="F48" i="2"/>
  <c r="F52" i="2" s="1"/>
  <c r="P120" i="6"/>
  <c r="P127" i="8"/>
  <c r="P123" i="8"/>
  <c r="P121" i="8"/>
  <c r="P117" i="8"/>
  <c r="P113" i="8"/>
  <c r="P113" i="9"/>
  <c r="P138" i="10"/>
  <c r="P123" i="11"/>
  <c r="P121" i="11"/>
  <c r="P129" i="13"/>
  <c r="P127" i="13"/>
  <c r="P115" i="13"/>
  <c r="P107" i="13"/>
  <c r="P105" i="13"/>
  <c r="P99" i="13"/>
  <c r="P113" i="22"/>
  <c r="P111" i="22"/>
  <c r="P109" i="22"/>
  <c r="P114" i="23"/>
  <c r="P125" i="38"/>
  <c r="P113" i="39"/>
  <c r="P109" i="45"/>
  <c r="P113" i="45"/>
  <c r="P121" i="45"/>
  <c r="P123" i="45"/>
  <c r="P125" i="45"/>
  <c r="P127" i="45"/>
  <c r="P153" i="3"/>
  <c r="P151" i="3"/>
  <c r="P141" i="3"/>
  <c r="P139" i="3"/>
  <c r="P129" i="3"/>
  <c r="P123" i="3"/>
  <c r="P119" i="3"/>
  <c r="P146" i="4"/>
  <c r="P138" i="4"/>
  <c r="P134" i="4"/>
  <c r="P128" i="4"/>
  <c r="P126" i="4"/>
  <c r="P120" i="4"/>
  <c r="P135" i="7"/>
  <c r="P147" i="10"/>
  <c r="P141" i="10"/>
  <c r="P139" i="10"/>
  <c r="P126" i="25"/>
  <c r="P124" i="25"/>
  <c r="P122" i="25"/>
  <c r="P118" i="25"/>
  <c r="J94" i="43"/>
  <c r="J94" i="13"/>
  <c r="J94" i="30"/>
  <c r="J95" i="30" s="1"/>
  <c r="J94" i="27"/>
  <c r="J95" i="27" s="1"/>
  <c r="J94" i="8"/>
  <c r="J95" i="8" s="1"/>
  <c r="J94" i="3"/>
  <c r="J95" i="3" s="1"/>
  <c r="J94" i="38"/>
  <c r="J94" i="25"/>
  <c r="J95" i="25" s="1"/>
  <c r="J94" i="28"/>
  <c r="J95" i="28" s="1"/>
  <c r="J94" i="7"/>
  <c r="J95" i="7" s="1"/>
  <c r="J94" i="9"/>
  <c r="J95" i="9" s="1"/>
  <c r="J94" i="4"/>
  <c r="J95" i="4" s="1"/>
  <c r="J94" i="6"/>
  <c r="J95" i="6" s="1"/>
  <c r="J94" i="11"/>
  <c r="J95" i="11" s="1"/>
  <c r="P107" i="27"/>
  <c r="P114" i="29"/>
  <c r="P110" i="30"/>
  <c r="P114" i="31"/>
  <c r="P100" i="43"/>
  <c r="P108" i="43"/>
  <c r="P108" i="45"/>
  <c r="P144" i="5"/>
  <c r="P108" i="23"/>
  <c r="P129" i="24"/>
  <c r="P113" i="25"/>
  <c r="P111" i="25"/>
  <c r="P109" i="25"/>
  <c r="P128" i="29"/>
  <c r="P105" i="30"/>
  <c r="P123" i="37"/>
  <c r="P103" i="40"/>
  <c r="P107" i="40"/>
  <c r="P115" i="40"/>
  <c r="P117" i="40"/>
  <c r="P108" i="41"/>
  <c r="P124" i="42"/>
  <c r="P101" i="43"/>
  <c r="P103" i="43"/>
  <c r="P107" i="43"/>
  <c r="P109" i="43"/>
  <c r="P128" i="43"/>
  <c r="P124" i="44"/>
  <c r="P126" i="44"/>
  <c r="P100" i="45"/>
  <c r="P102" i="45"/>
  <c r="P104" i="45"/>
  <c r="P106" i="45"/>
  <c r="P105" i="46"/>
  <c r="P107" i="46"/>
  <c r="P113" i="46"/>
  <c r="P115" i="46"/>
  <c r="P149" i="5"/>
  <c r="P133" i="5"/>
  <c r="P129" i="5"/>
  <c r="P124" i="5"/>
  <c r="P110" i="6"/>
  <c r="P143" i="8"/>
  <c r="P129" i="9"/>
  <c r="P153" i="10"/>
  <c r="P151" i="10"/>
  <c r="P149" i="10"/>
  <c r="P134" i="10"/>
  <c r="P126" i="10"/>
  <c r="P125" i="11"/>
  <c r="P124" i="13"/>
  <c r="P122" i="13"/>
  <c r="P127" i="22"/>
  <c r="P123" i="22"/>
  <c r="P108" i="22"/>
  <c r="P126" i="23"/>
  <c r="P128" i="24"/>
  <c r="P124" i="24"/>
  <c r="P120" i="24"/>
  <c r="P118" i="24"/>
  <c r="P116" i="24"/>
  <c r="P105" i="29"/>
  <c r="P107" i="29"/>
  <c r="P109" i="29"/>
  <c r="P115" i="29"/>
  <c r="P106" i="30"/>
  <c r="P123" i="31"/>
  <c r="P106" i="37"/>
  <c r="P116" i="37"/>
  <c r="P120" i="38"/>
  <c r="P107" i="42"/>
  <c r="P129" i="42"/>
  <c r="P129" i="43"/>
  <c r="P103" i="45"/>
  <c r="P107" i="45"/>
  <c r="P116" i="46"/>
  <c r="P143" i="4"/>
  <c r="P108" i="31"/>
  <c r="P130" i="6"/>
  <c r="P127" i="25"/>
  <c r="P106" i="24"/>
  <c r="P105" i="44"/>
  <c r="P112" i="45"/>
  <c r="P142" i="4"/>
  <c r="P132" i="4"/>
  <c r="P154" i="5"/>
  <c r="P112" i="25"/>
  <c r="P125" i="29"/>
  <c r="P124" i="40"/>
  <c r="P130" i="40"/>
  <c r="P143" i="5"/>
  <c r="P122" i="5"/>
  <c r="P109" i="5"/>
  <c r="P134" i="7"/>
  <c r="P130" i="7"/>
  <c r="P125" i="8"/>
  <c r="P114" i="8"/>
  <c r="P143" i="10"/>
  <c r="P132" i="10"/>
  <c r="P128" i="10"/>
  <c r="P123" i="13"/>
  <c r="P121" i="13"/>
  <c r="P117" i="13"/>
  <c r="P130" i="23"/>
  <c r="P128" i="23"/>
  <c r="P124" i="23"/>
  <c r="P107" i="24"/>
  <c r="P130" i="25"/>
  <c r="P123" i="29"/>
  <c r="P127" i="29"/>
  <c r="P111" i="30"/>
  <c r="P115" i="30"/>
  <c r="P110" i="31"/>
  <c r="P112" i="31"/>
  <c r="P125" i="31"/>
  <c r="P127" i="31"/>
  <c r="P112" i="37"/>
  <c r="P109" i="39"/>
  <c r="P119" i="40"/>
  <c r="P123" i="40"/>
  <c r="P126" i="40"/>
  <c r="P109" i="41"/>
  <c r="P103" i="42"/>
  <c r="P112" i="42"/>
  <c r="P116" i="42"/>
  <c r="P105" i="43"/>
  <c r="P101" i="44"/>
  <c r="P113" i="44"/>
  <c r="P101" i="45"/>
  <c r="P110" i="45"/>
  <c r="P117" i="45"/>
  <c r="P124" i="45"/>
  <c r="P103" i="46"/>
  <c r="P110" i="46"/>
  <c r="P112" i="46"/>
  <c r="P119" i="46"/>
  <c r="P121" i="46"/>
  <c r="P150" i="5"/>
  <c r="P115" i="7"/>
  <c r="P110" i="24"/>
  <c r="F88" i="2"/>
  <c r="F89" i="2" s="1"/>
  <c r="P117" i="27"/>
  <c r="P104" i="30"/>
  <c r="P121" i="30"/>
  <c r="P113" i="43"/>
  <c r="P117" i="43"/>
  <c r="P117" i="44"/>
  <c r="P105" i="45"/>
  <c r="P111" i="45"/>
  <c r="P114" i="46"/>
  <c r="P127" i="46"/>
  <c r="P151" i="5"/>
  <c r="P146" i="5"/>
  <c r="P137" i="5"/>
  <c r="P135" i="5"/>
  <c r="P125" i="5"/>
  <c r="P142" i="6"/>
  <c r="P128" i="6"/>
  <c r="P119" i="6"/>
  <c r="P112" i="6"/>
  <c r="P151" i="7"/>
  <c r="P147" i="7"/>
  <c r="P131" i="7"/>
  <c r="P127" i="7"/>
  <c r="P135" i="8"/>
  <c r="P119" i="8"/>
  <c r="P111" i="8"/>
  <c r="P117" i="9"/>
  <c r="P135" i="10"/>
  <c r="P133" i="10"/>
  <c r="P114" i="10"/>
  <c r="P112" i="10"/>
  <c r="P130" i="22"/>
  <c r="P111" i="23"/>
  <c r="P109" i="23"/>
  <c r="P130" i="24"/>
  <c r="P127" i="24"/>
  <c r="P123" i="24"/>
  <c r="P121" i="24"/>
  <c r="P121" i="25"/>
  <c r="P106" i="27"/>
  <c r="P110" i="27"/>
  <c r="P115" i="28"/>
  <c r="P103" i="30"/>
  <c r="P114" i="30"/>
  <c r="P122" i="30"/>
  <c r="P130" i="30"/>
  <c r="P106" i="31"/>
  <c r="P113" i="31"/>
  <c r="P122" i="31"/>
  <c r="P117" i="37"/>
  <c r="P121" i="37"/>
  <c r="P127" i="37"/>
  <c r="P115" i="38"/>
  <c r="P121" i="38"/>
  <c r="P125" i="40"/>
  <c r="P119" i="41"/>
  <c r="P123" i="41"/>
  <c r="P125" i="43"/>
  <c r="P99" i="45"/>
  <c r="P115" i="45"/>
  <c r="P129" i="45"/>
  <c r="P102" i="46"/>
  <c r="P104" i="46"/>
  <c r="P111" i="46"/>
  <c r="P118" i="46"/>
  <c r="P122" i="46"/>
  <c r="P128" i="46"/>
  <c r="P126" i="6"/>
  <c r="P129" i="7"/>
  <c r="P123" i="9"/>
  <c r="P131" i="10"/>
  <c r="P120" i="23"/>
  <c r="P123" i="27"/>
  <c r="P121" i="28"/>
  <c r="P108" i="39"/>
  <c r="P102" i="41"/>
  <c r="P126" i="43"/>
  <c r="P122" i="10"/>
  <c r="P120" i="10"/>
  <c r="P113" i="10"/>
  <c r="P118" i="13"/>
  <c r="P113" i="13"/>
  <c r="P104" i="29"/>
  <c r="P111" i="42"/>
  <c r="P116" i="11"/>
  <c r="P111" i="11"/>
  <c r="P115" i="23"/>
  <c r="P112" i="23"/>
  <c r="P107" i="28"/>
  <c r="P129" i="28"/>
  <c r="P108" i="30"/>
  <c r="P110" i="38"/>
  <c r="P120" i="43"/>
  <c r="P130" i="43"/>
  <c r="P118" i="44"/>
  <c r="C27" i="17"/>
  <c r="C44" i="17"/>
  <c r="C32" i="17"/>
  <c r="C29" i="17"/>
  <c r="C45" i="17"/>
  <c r="C33" i="17"/>
  <c r="C28" i="17"/>
  <c r="D46" i="17"/>
  <c r="C35" i="17"/>
  <c r="D37" i="17"/>
  <c r="C23" i="17"/>
  <c r="D19" i="17"/>
  <c r="D20" i="17"/>
  <c r="C37" i="17"/>
  <c r="C20" i="17"/>
  <c r="C38" i="17"/>
  <c r="C46" i="17"/>
  <c r="D29" i="17"/>
  <c r="D44" i="17"/>
  <c r="D32" i="17"/>
  <c r="C26" i="17"/>
  <c r="D26" i="17"/>
  <c r="C39" i="17"/>
  <c r="C19" i="17"/>
  <c r="D43" i="17"/>
  <c r="C18" i="17"/>
  <c r="C30" i="17"/>
  <c r="D36" i="17"/>
  <c r="C36" i="17"/>
  <c r="D45" i="17"/>
  <c r="D40" i="17"/>
  <c r="M87" i="10" l="1"/>
  <c r="N87" i="25"/>
  <c r="O87" i="25" s="1"/>
  <c r="L86" i="25"/>
  <c r="H17" i="47"/>
  <c r="H18" i="47"/>
  <c r="I18" i="47" s="1"/>
  <c r="H19" i="47"/>
  <c r="I19" i="47" s="1"/>
  <c r="H20" i="47"/>
  <c r="I20" i="47" s="1"/>
  <c r="H21" i="47"/>
  <c r="I21" i="47" s="1"/>
  <c r="H22" i="47"/>
  <c r="H23" i="47"/>
  <c r="I23" i="47" s="1"/>
  <c r="H24" i="47"/>
  <c r="I24" i="47" s="1"/>
  <c r="H25" i="47"/>
  <c r="I25" i="47" s="1"/>
  <c r="H26" i="47"/>
  <c r="I26" i="47" s="1"/>
  <c r="I22" i="47"/>
  <c r="F20" i="2"/>
  <c r="D13" i="27"/>
  <c r="I14" i="27" s="1"/>
  <c r="D13" i="47"/>
  <c r="I99" i="47"/>
  <c r="F28" i="47"/>
  <c r="G28" i="47" s="1"/>
  <c r="B28" i="47"/>
  <c r="H28" i="47"/>
  <c r="M87" i="9"/>
  <c r="O87" i="9" s="1"/>
  <c r="L86" i="10"/>
  <c r="N87" i="37"/>
  <c r="N87" i="4"/>
  <c r="M87" i="28"/>
  <c r="O87" i="28" s="1"/>
  <c r="L86" i="28"/>
  <c r="N87" i="23"/>
  <c r="O87" i="23" s="1"/>
  <c r="N87" i="42"/>
  <c r="N87" i="3"/>
  <c r="O87" i="3" s="1"/>
  <c r="M87" i="23"/>
  <c r="D13" i="6"/>
  <c r="I14" i="6" s="1"/>
  <c r="D13" i="40"/>
  <c r="I14" i="40" s="1"/>
  <c r="D13" i="43"/>
  <c r="I14" i="43" s="1"/>
  <c r="D13" i="25"/>
  <c r="I14" i="25" s="1"/>
  <c r="D13" i="42"/>
  <c r="I14" i="42" s="1"/>
  <c r="D13" i="9"/>
  <c r="I14" i="9" s="1"/>
  <c r="D13" i="11"/>
  <c r="I14" i="11" s="1"/>
  <c r="D13" i="3"/>
  <c r="I14" i="3" s="1"/>
  <c r="D13" i="7"/>
  <c r="I14" i="7" s="1"/>
  <c r="D13" i="30"/>
  <c r="I14" i="30" s="1"/>
  <c r="D13" i="44"/>
  <c r="I14" i="44" s="1"/>
  <c r="D13" i="37"/>
  <c r="I14" i="37" s="1"/>
  <c r="D13" i="29"/>
  <c r="I14" i="29" s="1"/>
  <c r="D13" i="23"/>
  <c r="I14" i="23" s="1"/>
  <c r="D13" i="22"/>
  <c r="I14" i="22" s="1"/>
  <c r="D13" i="28"/>
  <c r="I14" i="28" s="1"/>
  <c r="D13" i="4"/>
  <c r="I14" i="4" s="1"/>
  <c r="D13" i="45"/>
  <c r="I14" i="45" s="1"/>
  <c r="D13" i="10"/>
  <c r="I14" i="10" s="1"/>
  <c r="D13" i="38"/>
  <c r="I14" i="38" s="1"/>
  <c r="D13" i="31"/>
  <c r="I14" i="31" s="1"/>
  <c r="D13" i="41"/>
  <c r="I14" i="41" s="1"/>
  <c r="D13" i="24"/>
  <c r="I14" i="24" s="1"/>
  <c r="D13" i="13"/>
  <c r="D13" i="39"/>
  <c r="I14" i="39" s="1"/>
  <c r="D13" i="8"/>
  <c r="I14" i="8" s="1"/>
  <c r="D13" i="46"/>
  <c r="I14" i="46" s="1"/>
  <c r="M87" i="40"/>
  <c r="M87" i="5"/>
  <c r="N87" i="13"/>
  <c r="M87" i="31"/>
  <c r="N87" i="22"/>
  <c r="O87" i="22" s="1"/>
  <c r="L86" i="3"/>
  <c r="N87" i="31"/>
  <c r="M87" i="42"/>
  <c r="L86" i="39"/>
  <c r="M87" i="8"/>
  <c r="N87" i="8"/>
  <c r="M87" i="29"/>
  <c r="N87" i="29"/>
  <c r="L86" i="22"/>
  <c r="M87" i="13"/>
  <c r="O87" i="13" s="1"/>
  <c r="L86" i="44"/>
  <c r="M87" i="7"/>
  <c r="N87" i="5"/>
  <c r="O87" i="5" s="1"/>
  <c r="N87" i="27"/>
  <c r="M87" i="27"/>
  <c r="N87" i="24"/>
  <c r="N87" i="30"/>
  <c r="N87" i="40"/>
  <c r="M87" i="44"/>
  <c r="O87" i="44" s="1"/>
  <c r="N87" i="7"/>
  <c r="O87" i="7" s="1"/>
  <c r="M87" i="43"/>
  <c r="O87" i="43" s="1"/>
  <c r="M87" i="24"/>
  <c r="L86" i="43"/>
  <c r="M87" i="30"/>
  <c r="M87" i="39"/>
  <c r="O87" i="39" s="1"/>
  <c r="L86" i="9"/>
  <c r="N87" i="38"/>
  <c r="M87" i="38"/>
  <c r="M87" i="6"/>
  <c r="N87" i="6"/>
  <c r="L86" i="11"/>
  <c r="M87" i="37"/>
  <c r="M87" i="4"/>
  <c r="E100" i="13"/>
  <c r="F100" i="13" s="1"/>
  <c r="D101" i="13" s="1"/>
  <c r="E101" i="13" s="1"/>
  <c r="B19" i="44"/>
  <c r="D18" i="13"/>
  <c r="G17" i="13"/>
  <c r="I17" i="13" s="1"/>
  <c r="B18" i="45"/>
  <c r="C100" i="38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117" i="38" s="1"/>
  <c r="C118" i="38" s="1"/>
  <c r="C119" i="38" s="1"/>
  <c r="C120" i="38" s="1"/>
  <c r="C121" i="38" s="1"/>
  <c r="C122" i="38" s="1"/>
  <c r="C123" i="38" s="1"/>
  <c r="C124" i="38" s="1"/>
  <c r="C125" i="38" s="1"/>
  <c r="C126" i="38" s="1"/>
  <c r="C127" i="38" s="1"/>
  <c r="C128" i="38" s="1"/>
  <c r="C129" i="38" s="1"/>
  <c r="C130" i="38" s="1"/>
  <c r="C131" i="38" s="1"/>
  <c r="C132" i="38" s="1"/>
  <c r="C133" i="38" s="1"/>
  <c r="C134" i="38" s="1"/>
  <c r="C135" i="38" s="1"/>
  <c r="C136" i="38" s="1"/>
  <c r="C137" i="38" s="1"/>
  <c r="C138" i="38" s="1"/>
  <c r="C139" i="38" s="1"/>
  <c r="C140" i="38" s="1"/>
  <c r="C141" i="38" s="1"/>
  <c r="C142" i="38" s="1"/>
  <c r="C143" i="38" s="1"/>
  <c r="C144" i="38" s="1"/>
  <c r="C145" i="38" s="1"/>
  <c r="C146" i="38" s="1"/>
  <c r="C147" i="38" s="1"/>
  <c r="C148" i="38" s="1"/>
  <c r="C149" i="38" s="1"/>
  <c r="C150" i="38" s="1"/>
  <c r="C151" i="38" s="1"/>
  <c r="C152" i="38" s="1"/>
  <c r="C153" i="38" s="1"/>
  <c r="C154" i="38" s="1"/>
  <c r="E19" i="27"/>
  <c r="C99" i="22"/>
  <c r="C100" i="22" s="1"/>
  <c r="C101" i="22" s="1"/>
  <c r="C102" i="22" s="1"/>
  <c r="C103" i="22" s="1"/>
  <c r="C104" i="22" s="1"/>
  <c r="C105" i="22" s="1"/>
  <c r="C106" i="22" s="1"/>
  <c r="C107" i="22" s="1"/>
  <c r="C108" i="22" s="1"/>
  <c r="C109" i="22" s="1"/>
  <c r="C110" i="22" s="1"/>
  <c r="C111" i="22" s="1"/>
  <c r="C112" i="22" s="1"/>
  <c r="C113" i="22" s="1"/>
  <c r="C114" i="22" s="1"/>
  <c r="C115" i="22" s="1"/>
  <c r="C116" i="22" s="1"/>
  <c r="C117" i="22" s="1"/>
  <c r="C118" i="22" s="1"/>
  <c r="C119" i="22" s="1"/>
  <c r="C120" i="22" s="1"/>
  <c r="C121" i="22" s="1"/>
  <c r="C122" i="22" s="1"/>
  <c r="C123" i="22" s="1"/>
  <c r="C124" i="22" s="1"/>
  <c r="C125" i="22" s="1"/>
  <c r="C126" i="22" s="1"/>
  <c r="C127" i="22" s="1"/>
  <c r="C128" i="22" s="1"/>
  <c r="C129" i="22" s="1"/>
  <c r="C130" i="22" s="1"/>
  <c r="C131" i="22" s="1"/>
  <c r="C132" i="22" s="1"/>
  <c r="C133" i="22" s="1"/>
  <c r="C134" i="22" s="1"/>
  <c r="C135" i="22" s="1"/>
  <c r="C136" i="22" s="1"/>
  <c r="C137" i="22" s="1"/>
  <c r="C138" i="22" s="1"/>
  <c r="C139" i="22" s="1"/>
  <c r="C140" i="22" s="1"/>
  <c r="C141" i="22" s="1"/>
  <c r="C142" i="22" s="1"/>
  <c r="C143" i="22" s="1"/>
  <c r="C144" i="22" s="1"/>
  <c r="C145" i="22" s="1"/>
  <c r="C146" i="22" s="1"/>
  <c r="C147" i="22" s="1"/>
  <c r="C148" i="22" s="1"/>
  <c r="C149" i="22" s="1"/>
  <c r="C150" i="22" s="1"/>
  <c r="C151" i="22" s="1"/>
  <c r="C152" i="22" s="1"/>
  <c r="C153" i="22" s="1"/>
  <c r="C154" i="22" s="1"/>
  <c r="O87" i="11"/>
  <c r="M87" i="46"/>
  <c r="N87" i="46"/>
  <c r="L86" i="46"/>
  <c r="O87" i="10"/>
  <c r="O87" i="41"/>
  <c r="E25" i="2"/>
  <c r="E26" i="2" s="1"/>
  <c r="E30" i="2" s="1"/>
  <c r="E32" i="2"/>
  <c r="E32" i="1"/>
  <c r="E25" i="1"/>
  <c r="E26" i="1" s="1"/>
  <c r="C99" i="29"/>
  <c r="C100" i="29" s="1"/>
  <c r="C101" i="29" s="1"/>
  <c r="C102" i="29" s="1"/>
  <c r="C103" i="29" s="1"/>
  <c r="C104" i="29" s="1"/>
  <c r="C105" i="29" s="1"/>
  <c r="C106" i="29" s="1"/>
  <c r="C107" i="29" s="1"/>
  <c r="C108" i="29" s="1"/>
  <c r="C109" i="29" s="1"/>
  <c r="C110" i="29" s="1"/>
  <c r="C111" i="29" s="1"/>
  <c r="C112" i="29" s="1"/>
  <c r="C113" i="29" s="1"/>
  <c r="C114" i="29" s="1"/>
  <c r="C115" i="29" s="1"/>
  <c r="C116" i="29" s="1"/>
  <c r="C117" i="29" s="1"/>
  <c r="C118" i="29" s="1"/>
  <c r="C119" i="29" s="1"/>
  <c r="C120" i="29" s="1"/>
  <c r="C121" i="29" s="1"/>
  <c r="C122" i="29" s="1"/>
  <c r="C123" i="29" s="1"/>
  <c r="C124" i="29" s="1"/>
  <c r="C125" i="29" s="1"/>
  <c r="C126" i="29" s="1"/>
  <c r="C127" i="29" s="1"/>
  <c r="C128" i="29" s="1"/>
  <c r="C129" i="29" s="1"/>
  <c r="C130" i="29" s="1"/>
  <c r="C131" i="29" s="1"/>
  <c r="C132" i="29" s="1"/>
  <c r="C133" i="29" s="1"/>
  <c r="C134" i="29" s="1"/>
  <c r="C135" i="29" s="1"/>
  <c r="C136" i="29" s="1"/>
  <c r="C137" i="29" s="1"/>
  <c r="C138" i="29" s="1"/>
  <c r="C139" i="29" s="1"/>
  <c r="C140" i="29" s="1"/>
  <c r="C141" i="29" s="1"/>
  <c r="C142" i="29" s="1"/>
  <c r="C143" i="29" s="1"/>
  <c r="C144" i="29" s="1"/>
  <c r="C145" i="29" s="1"/>
  <c r="C146" i="29" s="1"/>
  <c r="C147" i="29" s="1"/>
  <c r="C148" i="29" s="1"/>
  <c r="C149" i="29" s="1"/>
  <c r="C150" i="29" s="1"/>
  <c r="C151" i="29" s="1"/>
  <c r="C152" i="29" s="1"/>
  <c r="C153" i="29" s="1"/>
  <c r="C154" i="29" s="1"/>
  <c r="I13" i="44"/>
  <c r="I13" i="45"/>
  <c r="C99" i="7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99" i="8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45" i="45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60" i="45" s="1"/>
  <c r="C61" i="45" s="1"/>
  <c r="C62" i="45" s="1"/>
  <c r="C63" i="45" s="1"/>
  <c r="C64" i="45" s="1"/>
  <c r="C65" i="45" s="1"/>
  <c r="C66" i="45" s="1"/>
  <c r="C67" i="45" s="1"/>
  <c r="C68" i="45" s="1"/>
  <c r="C69" i="45" s="1"/>
  <c r="C70" i="45" s="1"/>
  <c r="C71" i="45" s="1"/>
  <c r="C72" i="45" s="1"/>
  <c r="N87" i="45"/>
  <c r="I13" i="46"/>
  <c r="N6" i="46" s="1"/>
  <c r="N5" i="46"/>
  <c r="C99" i="9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J95" i="43"/>
  <c r="J95" i="38"/>
  <c r="J95" i="13"/>
  <c r="I99" i="13" s="1"/>
  <c r="H99" i="13"/>
  <c r="D39" i="17"/>
  <c r="D35" i="17"/>
  <c r="D41" i="17"/>
  <c r="C31" i="17"/>
  <c r="C25" i="17"/>
  <c r="D38" i="17"/>
  <c r="D18" i="17"/>
  <c r="C42" i="17"/>
  <c r="C34" i="17"/>
  <c r="D28" i="17"/>
  <c r="D23" i="17"/>
  <c r="D25" i="17"/>
  <c r="C21" i="17"/>
  <c r="D34" i="17"/>
  <c r="C41" i="17"/>
  <c r="D30" i="17"/>
  <c r="C22" i="17"/>
  <c r="D22" i="17"/>
  <c r="D27" i="17"/>
  <c r="C43" i="17"/>
  <c r="D33" i="17"/>
  <c r="D42" i="17"/>
  <c r="D21" i="17"/>
  <c r="D24" i="17"/>
  <c r="C40" i="17"/>
  <c r="D31" i="17"/>
  <c r="C24" i="17"/>
  <c r="I17" i="47" l="1"/>
  <c r="N6" i="47"/>
  <c r="N7" i="47" s="1"/>
  <c r="O87" i="4"/>
  <c r="O87" i="37"/>
  <c r="J99" i="47"/>
  <c r="N88" i="47"/>
  <c r="I28" i="47"/>
  <c r="D29" i="47"/>
  <c r="O87" i="42"/>
  <c r="O87" i="24"/>
  <c r="O87" i="40"/>
  <c r="O87" i="8"/>
  <c r="O87" i="31"/>
  <c r="O87" i="30"/>
  <c r="O87" i="29"/>
  <c r="B100" i="44"/>
  <c r="O87" i="27"/>
  <c r="O87" i="6"/>
  <c r="O87" i="38"/>
  <c r="N17" i="2"/>
  <c r="R132" i="2" s="1"/>
  <c r="J99" i="44"/>
  <c r="B101" i="13"/>
  <c r="F101" i="13"/>
  <c r="G101" i="13" s="1"/>
  <c r="E33" i="2"/>
  <c r="E37" i="2" s="1"/>
  <c r="F54" i="2" s="1"/>
  <c r="F53" i="2"/>
  <c r="O17" i="2"/>
  <c r="R133" i="2" s="1"/>
  <c r="G100" i="13"/>
  <c r="H100" i="13" s="1"/>
  <c r="B19" i="45"/>
  <c r="B18" i="13"/>
  <c r="E18" i="13"/>
  <c r="F18" i="13" s="1"/>
  <c r="D19" i="13" s="1"/>
  <c r="B23" i="27"/>
  <c r="D99" i="7"/>
  <c r="O87" i="46"/>
  <c r="O87" i="45"/>
  <c r="B20" i="37"/>
  <c r="I17" i="46"/>
  <c r="I19" i="37"/>
  <c r="N6" i="37"/>
  <c r="N5" i="37"/>
  <c r="N5" i="10"/>
  <c r="B31" i="10"/>
  <c r="I30" i="10"/>
  <c r="N6" i="10"/>
  <c r="E30" i="1"/>
  <c r="E33" i="1" s="1"/>
  <c r="F53" i="1"/>
  <c r="I18" i="44"/>
  <c r="D19" i="46"/>
  <c r="E19" i="46" s="1"/>
  <c r="J99" i="13"/>
  <c r="N89" i="47" l="1"/>
  <c r="B29" i="47"/>
  <c r="E29" i="47"/>
  <c r="F29" i="47" s="1"/>
  <c r="E37" i="1"/>
  <c r="F54" i="1" s="1"/>
  <c r="F55" i="1" s="1"/>
  <c r="I18" i="45"/>
  <c r="P17" i="2"/>
  <c r="I100" i="13"/>
  <c r="J100" i="13" s="1"/>
  <c r="D102" i="13"/>
  <c r="B102" i="13" s="1"/>
  <c r="F55" i="2"/>
  <c r="F62" i="2" s="1"/>
  <c r="F65" i="2" s="1"/>
  <c r="F67" i="2" s="1"/>
  <c r="F69" i="2" s="1"/>
  <c r="F70" i="2" s="1"/>
  <c r="F71" i="2" s="1"/>
  <c r="F56" i="2" s="1"/>
  <c r="F57" i="2" s="1"/>
  <c r="G18" i="13"/>
  <c r="D20" i="44"/>
  <c r="H18" i="13"/>
  <c r="I18" i="13" s="1"/>
  <c r="I18" i="46"/>
  <c r="E19" i="13"/>
  <c r="F19" i="13" s="1"/>
  <c r="B19" i="13"/>
  <c r="B100" i="45"/>
  <c r="N5" i="27"/>
  <c r="N6" i="44"/>
  <c r="N7" i="10"/>
  <c r="B30" i="9"/>
  <c r="N5" i="9"/>
  <c r="B19" i="46"/>
  <c r="F19" i="46"/>
  <c r="G19" i="46" s="1"/>
  <c r="I29" i="9"/>
  <c r="N6" i="9"/>
  <c r="I17" i="45"/>
  <c r="N7" i="37"/>
  <c r="I17" i="44"/>
  <c r="I20" i="37"/>
  <c r="H101" i="13"/>
  <c r="I101" i="13"/>
  <c r="F25" i="17"/>
  <c r="F36" i="17"/>
  <c r="D30" i="47" l="1"/>
  <c r="E30" i="47" s="1"/>
  <c r="G29" i="47"/>
  <c r="H29" i="47"/>
  <c r="I29" i="47" s="1"/>
  <c r="D20" i="45"/>
  <c r="E20" i="45" s="1"/>
  <c r="I19" i="44"/>
  <c r="N5" i="44"/>
  <c r="N7" i="44" s="1"/>
  <c r="E102" i="13"/>
  <c r="F102" i="13" s="1"/>
  <c r="E20" i="44"/>
  <c r="F20" i="44" s="1"/>
  <c r="B20" i="44"/>
  <c r="I19" i="45"/>
  <c r="G19" i="13"/>
  <c r="D20" i="13"/>
  <c r="H19" i="13"/>
  <c r="J99" i="45"/>
  <c r="I23" i="27"/>
  <c r="N6" i="27"/>
  <c r="N7" i="27" s="1"/>
  <c r="B24" i="27"/>
  <c r="G25" i="17"/>
  <c r="G36" i="17"/>
  <c r="N5" i="41"/>
  <c r="N5" i="7"/>
  <c r="B28" i="5"/>
  <c r="I19" i="38"/>
  <c r="N6" i="38"/>
  <c r="B23" i="31"/>
  <c r="I26" i="25"/>
  <c r="N6" i="25"/>
  <c r="I24" i="24"/>
  <c r="N6" i="24"/>
  <c r="B19" i="41"/>
  <c r="N5" i="43"/>
  <c r="N6" i="6"/>
  <c r="I28" i="6"/>
  <c r="N6" i="8"/>
  <c r="I28" i="8"/>
  <c r="I29" i="11"/>
  <c r="N6" i="11"/>
  <c r="I27" i="5"/>
  <c r="N6" i="5"/>
  <c r="I19" i="39"/>
  <c r="N6" i="39"/>
  <c r="I22" i="29"/>
  <c r="N6" i="29"/>
  <c r="I27" i="3"/>
  <c r="N6" i="3"/>
  <c r="N5" i="40"/>
  <c r="I18" i="42"/>
  <c r="N6" i="42"/>
  <c r="B23" i="28"/>
  <c r="B22" i="30"/>
  <c r="N5" i="23"/>
  <c r="D20" i="46"/>
  <c r="E20" i="46" s="1"/>
  <c r="N5" i="28"/>
  <c r="I26" i="22"/>
  <c r="N6" i="22"/>
  <c r="N5" i="30"/>
  <c r="N5" i="25"/>
  <c r="B25" i="24"/>
  <c r="I25" i="23"/>
  <c r="N6" i="23"/>
  <c r="N6" i="41"/>
  <c r="I18" i="41"/>
  <c r="N5" i="4"/>
  <c r="N5" i="45"/>
  <c r="N6" i="43"/>
  <c r="I17" i="43"/>
  <c r="I30" i="7"/>
  <c r="N6" i="7"/>
  <c r="N5" i="8"/>
  <c r="N5" i="11"/>
  <c r="H19" i="46"/>
  <c r="B20" i="39"/>
  <c r="N5" i="29"/>
  <c r="N5" i="3"/>
  <c r="B19" i="40"/>
  <c r="B19" i="42"/>
  <c r="B32" i="10"/>
  <c r="N5" i="38"/>
  <c r="N5" i="22"/>
  <c r="N5" i="31"/>
  <c r="B28" i="4"/>
  <c r="B18" i="43"/>
  <c r="B29" i="6"/>
  <c r="B27" i="25"/>
  <c r="N5" i="24"/>
  <c r="B26" i="23"/>
  <c r="I27" i="4"/>
  <c r="N6" i="4"/>
  <c r="N6" i="45"/>
  <c r="B21" i="37"/>
  <c r="B31" i="7"/>
  <c r="N5" i="6"/>
  <c r="B29" i="8"/>
  <c r="B30" i="11"/>
  <c r="N7" i="9"/>
  <c r="N5" i="5"/>
  <c r="F62" i="1"/>
  <c r="F65" i="1" s="1"/>
  <c r="F67" i="1" s="1"/>
  <c r="F69" i="1" s="1"/>
  <c r="F76" i="1"/>
  <c r="F77" i="1" s="1"/>
  <c r="N5" i="39"/>
  <c r="B23" i="29"/>
  <c r="B28" i="3"/>
  <c r="I18" i="40"/>
  <c r="N6" i="40"/>
  <c r="N5" i="42"/>
  <c r="I31" i="10"/>
  <c r="I22" i="28"/>
  <c r="N6" i="28"/>
  <c r="B20" i="38"/>
  <c r="B27" i="22"/>
  <c r="I22" i="31"/>
  <c r="N6" i="31"/>
  <c r="N6" i="30"/>
  <c r="I21" i="30"/>
  <c r="F59" i="2"/>
  <c r="F79" i="2" s="1"/>
  <c r="F80" i="2" s="1"/>
  <c r="F82" i="2" s="1"/>
  <c r="F76" i="2"/>
  <c r="F77" i="2" s="1"/>
  <c r="J101" i="13"/>
  <c r="F24" i="17"/>
  <c r="F43" i="17"/>
  <c r="F31" i="17"/>
  <c r="F30" i="47" l="1"/>
  <c r="B30" i="47"/>
  <c r="B20" i="45"/>
  <c r="F20" i="45"/>
  <c r="H20" i="45" s="1"/>
  <c r="N7" i="45"/>
  <c r="G43" i="17"/>
  <c r="N7" i="41"/>
  <c r="H20" i="44"/>
  <c r="G20" i="44"/>
  <c r="D21" i="44"/>
  <c r="I19" i="13"/>
  <c r="E20" i="13"/>
  <c r="F20" i="13" s="1"/>
  <c r="B20" i="13"/>
  <c r="G31" i="17"/>
  <c r="I18" i="43"/>
  <c r="I20" i="38"/>
  <c r="I20" i="39"/>
  <c r="N7" i="23"/>
  <c r="N7" i="4"/>
  <c r="N7" i="31"/>
  <c r="N7" i="40"/>
  <c r="N7" i="30"/>
  <c r="N7" i="7"/>
  <c r="N7" i="29"/>
  <c r="N7" i="25"/>
  <c r="G24" i="17"/>
  <c r="F70" i="1"/>
  <c r="F71" i="1" s="1"/>
  <c r="F56" i="1" s="1"/>
  <c r="F57" i="1" s="1"/>
  <c r="F59" i="1" s="1"/>
  <c r="F79" i="1" s="1"/>
  <c r="F80" i="1" s="1"/>
  <c r="F82" i="1" s="1"/>
  <c r="I19" i="46"/>
  <c r="N7" i="46"/>
  <c r="N7" i="3"/>
  <c r="N7" i="24"/>
  <c r="N7" i="38"/>
  <c r="N7" i="22"/>
  <c r="N7" i="5"/>
  <c r="N7" i="11"/>
  <c r="N7" i="8"/>
  <c r="N7" i="6"/>
  <c r="B31" i="9"/>
  <c r="E22" i="37"/>
  <c r="D22" i="37"/>
  <c r="N7" i="42"/>
  <c r="N7" i="28"/>
  <c r="I30" i="9"/>
  <c r="E33" i="10"/>
  <c r="D33" i="10"/>
  <c r="N7" i="43"/>
  <c r="F20" i="46"/>
  <c r="H20" i="46" s="1"/>
  <c r="B20" i="46"/>
  <c r="N7" i="39"/>
  <c r="G102" i="13"/>
  <c r="D103" i="13"/>
  <c r="F44" i="17"/>
  <c r="F28" i="17"/>
  <c r="F35" i="17"/>
  <c r="F45" i="17"/>
  <c r="F42" i="17"/>
  <c r="F26" i="17"/>
  <c r="F30" i="17"/>
  <c r="F21" i="17"/>
  <c r="F39" i="17"/>
  <c r="F38" i="17"/>
  <c r="F22" i="17"/>
  <c r="F41" i="17"/>
  <c r="F34" i="17"/>
  <c r="F40" i="17"/>
  <c r="F29" i="17"/>
  <c r="F18" i="17"/>
  <c r="F37" i="17"/>
  <c r="F27" i="17"/>
  <c r="F32" i="17"/>
  <c r="F33" i="17"/>
  <c r="F20" i="17"/>
  <c r="F19" i="17"/>
  <c r="F23" i="17"/>
  <c r="D21" i="45" l="1"/>
  <c r="E21" i="45" s="1"/>
  <c r="D31" i="47"/>
  <c r="E31" i="47" s="1"/>
  <c r="G30" i="47"/>
  <c r="H30" i="47"/>
  <c r="G20" i="45"/>
  <c r="I20" i="45" s="1"/>
  <c r="G45" i="17"/>
  <c r="F48" i="17"/>
  <c r="G44" i="17"/>
  <c r="G42" i="17"/>
  <c r="G40" i="17"/>
  <c r="I20" i="44"/>
  <c r="E21" i="44"/>
  <c r="F21" i="44" s="1"/>
  <c r="B21" i="44"/>
  <c r="G20" i="46"/>
  <c r="I20" i="46" s="1"/>
  <c r="D21" i="13"/>
  <c r="H20" i="13"/>
  <c r="G20" i="13"/>
  <c r="B25" i="27"/>
  <c r="I24" i="27"/>
  <c r="G28" i="17"/>
  <c r="G34" i="17"/>
  <c r="G39" i="17"/>
  <c r="G35" i="17"/>
  <c r="G22" i="17"/>
  <c r="G19" i="17"/>
  <c r="G30" i="17"/>
  <c r="G33" i="17"/>
  <c r="G41" i="17"/>
  <c r="G23" i="17"/>
  <c r="G29" i="17"/>
  <c r="G21" i="17"/>
  <c r="G38" i="17"/>
  <c r="G26" i="17"/>
  <c r="G27" i="17"/>
  <c r="G18" i="17"/>
  <c r="G32" i="17"/>
  <c r="G20" i="17"/>
  <c r="G37" i="17"/>
  <c r="B20" i="41"/>
  <c r="B24" i="29"/>
  <c r="I31" i="7"/>
  <c r="I29" i="8"/>
  <c r="B29" i="5"/>
  <c r="F21" i="45"/>
  <c r="G21" i="45" s="1"/>
  <c r="B21" i="45"/>
  <c r="B33" i="10"/>
  <c r="F33" i="10"/>
  <c r="G33" i="10" s="1"/>
  <c r="B26" i="24"/>
  <c r="I27" i="25"/>
  <c r="I26" i="23"/>
  <c r="I30" i="11"/>
  <c r="B30" i="6"/>
  <c r="I23" i="28"/>
  <c r="I22" i="30"/>
  <c r="I28" i="4"/>
  <c r="B30" i="8"/>
  <c r="B28" i="22"/>
  <c r="I19" i="41"/>
  <c r="B19" i="43"/>
  <c r="I23" i="31"/>
  <c r="I28" i="3"/>
  <c r="I19" i="42"/>
  <c r="I25" i="24"/>
  <c r="D32" i="9"/>
  <c r="E32" i="9"/>
  <c r="B24" i="31"/>
  <c r="B21" i="39"/>
  <c r="B27" i="23"/>
  <c r="B23" i="30"/>
  <c r="B20" i="42"/>
  <c r="B29" i="4"/>
  <c r="B32" i="7"/>
  <c r="F22" i="37"/>
  <c r="H22" i="37" s="1"/>
  <c r="B22" i="37"/>
  <c r="I28" i="5"/>
  <c r="D21" i="46"/>
  <c r="E21" i="46" s="1"/>
  <c r="I32" i="10"/>
  <c r="B28" i="25"/>
  <c r="B31" i="11"/>
  <c r="B20" i="40"/>
  <c r="I29" i="6"/>
  <c r="I23" i="29"/>
  <c r="B24" i="28"/>
  <c r="B29" i="3"/>
  <c r="B21" i="38"/>
  <c r="I27" i="22"/>
  <c r="I19" i="40"/>
  <c r="I21" i="37"/>
  <c r="B103" i="13"/>
  <c r="E103" i="13"/>
  <c r="F103" i="13" s="1"/>
  <c r="I102" i="13"/>
  <c r="H102" i="13"/>
  <c r="I30" i="47" l="1"/>
  <c r="F31" i="47"/>
  <c r="G31" i="47" s="1"/>
  <c r="B31" i="47"/>
  <c r="H31" i="47"/>
  <c r="H33" i="10"/>
  <c r="G48" i="17"/>
  <c r="H21" i="44"/>
  <c r="D22" i="44"/>
  <c r="G21" i="44"/>
  <c r="I20" i="13"/>
  <c r="E21" i="13"/>
  <c r="F21" i="13" s="1"/>
  <c r="G21" i="13" s="1"/>
  <c r="N5" i="13" s="1"/>
  <c r="M19" i="1" s="1"/>
  <c r="B21" i="13"/>
  <c r="I20" i="42"/>
  <c r="E26" i="27"/>
  <c r="D26" i="27"/>
  <c r="D22" i="38"/>
  <c r="E22" i="38"/>
  <c r="D32" i="11"/>
  <c r="E32" i="11"/>
  <c r="D22" i="39"/>
  <c r="E22" i="39"/>
  <c r="D31" i="8"/>
  <c r="E31" i="8"/>
  <c r="D25" i="29"/>
  <c r="E25" i="29"/>
  <c r="I20" i="40"/>
  <c r="I20" i="41"/>
  <c r="D30" i="3"/>
  <c r="E30" i="3"/>
  <c r="D25" i="28"/>
  <c r="E25" i="28"/>
  <c r="F21" i="46"/>
  <c r="H21" i="46" s="1"/>
  <c r="B21" i="46"/>
  <c r="D30" i="4"/>
  <c r="E30" i="4"/>
  <c r="D21" i="42"/>
  <c r="E21" i="42"/>
  <c r="D28" i="23"/>
  <c r="E28" i="23"/>
  <c r="D25" i="31"/>
  <c r="E25" i="31"/>
  <c r="B32" i="9"/>
  <c r="F32" i="9"/>
  <c r="H32" i="9" s="1"/>
  <c r="D27" i="24"/>
  <c r="E27" i="24"/>
  <c r="D34" i="10"/>
  <c r="E34" i="10"/>
  <c r="D21" i="41"/>
  <c r="E21" i="41"/>
  <c r="E23" i="37"/>
  <c r="D23" i="37"/>
  <c r="D24" i="30"/>
  <c r="E24" i="30"/>
  <c r="D22" i="45"/>
  <c r="E22" i="45" s="1"/>
  <c r="D21" i="40"/>
  <c r="E21" i="40"/>
  <c r="D29" i="25"/>
  <c r="E29" i="25"/>
  <c r="G22" i="37"/>
  <c r="I22" i="37" s="1"/>
  <c r="D33" i="7"/>
  <c r="E33" i="7"/>
  <c r="I31" i="9"/>
  <c r="D29" i="22"/>
  <c r="E29" i="22"/>
  <c r="D31" i="6"/>
  <c r="E31" i="6"/>
  <c r="H21" i="45"/>
  <c r="D30" i="5"/>
  <c r="E30" i="5"/>
  <c r="G103" i="13"/>
  <c r="D104" i="13"/>
  <c r="E104" i="13" s="1"/>
  <c r="J102" i="13"/>
  <c r="M20" i="1" l="1"/>
  <c r="R132" i="1"/>
  <c r="I31" i="47"/>
  <c r="D32" i="47"/>
  <c r="G32" i="9"/>
  <c r="E22" i="44"/>
  <c r="F22" i="44" s="1"/>
  <c r="B22" i="44"/>
  <c r="I21" i="44"/>
  <c r="H21" i="13"/>
  <c r="D22" i="13"/>
  <c r="I25" i="27"/>
  <c r="F26" i="27"/>
  <c r="H26" i="27" s="1"/>
  <c r="B26" i="27"/>
  <c r="B31" i="6"/>
  <c r="F31" i="6"/>
  <c r="H31" i="6" s="1"/>
  <c r="B25" i="31"/>
  <c r="F25" i="31"/>
  <c r="H25" i="31" s="1"/>
  <c r="F25" i="28"/>
  <c r="H25" i="28" s="1"/>
  <c r="B25" i="28"/>
  <c r="I21" i="45"/>
  <c r="I30" i="6"/>
  <c r="I28" i="22"/>
  <c r="I24" i="31"/>
  <c r="I29" i="4"/>
  <c r="B30" i="3"/>
  <c r="F30" i="3"/>
  <c r="H30" i="3" s="1"/>
  <c r="I30" i="8"/>
  <c r="F22" i="39"/>
  <c r="H22" i="39" s="1"/>
  <c r="B22" i="39"/>
  <c r="F23" i="37"/>
  <c r="H23" i="37" s="1"/>
  <c r="B23" i="37"/>
  <c r="D33" i="9"/>
  <c r="E33" i="9"/>
  <c r="B30" i="4"/>
  <c r="F30" i="4"/>
  <c r="H30" i="4" s="1"/>
  <c r="I28" i="25"/>
  <c r="B21" i="40"/>
  <c r="F21" i="40"/>
  <c r="G21" i="40" s="1"/>
  <c r="B22" i="45"/>
  <c r="F22" i="45"/>
  <c r="H22" i="45" s="1"/>
  <c r="B24" i="30"/>
  <c r="F24" i="30"/>
  <c r="H24" i="30" s="1"/>
  <c r="F21" i="41"/>
  <c r="H21" i="41" s="1"/>
  <c r="B21" i="41"/>
  <c r="F34" i="10"/>
  <c r="H34" i="10" s="1"/>
  <c r="B34" i="10"/>
  <c r="F27" i="24"/>
  <c r="H27" i="24" s="1"/>
  <c r="B27" i="24"/>
  <c r="I21" i="39"/>
  <c r="B28" i="23"/>
  <c r="F28" i="23"/>
  <c r="H28" i="23" s="1"/>
  <c r="B21" i="42"/>
  <c r="F21" i="42"/>
  <c r="H21" i="42" s="1"/>
  <c r="I24" i="29"/>
  <c r="I31" i="11"/>
  <c r="B22" i="38"/>
  <c r="F22" i="38"/>
  <c r="G22" i="38" s="1"/>
  <c r="F29" i="22"/>
  <c r="H29" i="22" s="1"/>
  <c r="B29" i="22"/>
  <c r="F33" i="7"/>
  <c r="H33" i="7" s="1"/>
  <c r="B33" i="7"/>
  <c r="I21" i="38"/>
  <c r="I27" i="23"/>
  <c r="D22" i="46"/>
  <c r="F25" i="29"/>
  <c r="H25" i="29" s="1"/>
  <c r="B25" i="29"/>
  <c r="I19" i="43"/>
  <c r="B32" i="11"/>
  <c r="F32" i="11"/>
  <c r="H32" i="11" s="1"/>
  <c r="I29" i="5"/>
  <c r="B30" i="5"/>
  <c r="F30" i="5"/>
  <c r="H30" i="5" s="1"/>
  <c r="I32" i="7"/>
  <c r="F29" i="25"/>
  <c r="G29" i="25" s="1"/>
  <c r="B29" i="25"/>
  <c r="I23" i="30"/>
  <c r="I33" i="10"/>
  <c r="I26" i="24"/>
  <c r="B20" i="43"/>
  <c r="G21" i="46"/>
  <c r="I21" i="46" s="1"/>
  <c r="I24" i="28"/>
  <c r="I29" i="3"/>
  <c r="F31" i="8"/>
  <c r="H31" i="8" s="1"/>
  <c r="B31" i="8"/>
  <c r="I103" i="13"/>
  <c r="H103" i="13"/>
  <c r="F104" i="13"/>
  <c r="B104" i="13"/>
  <c r="I21" i="13" l="1"/>
  <c r="N6" i="13"/>
  <c r="B32" i="47"/>
  <c r="E32" i="47"/>
  <c r="F32" i="47" s="1"/>
  <c r="H32" i="47" s="1"/>
  <c r="G25" i="31"/>
  <c r="G24" i="30"/>
  <c r="G25" i="29"/>
  <c r="G25" i="28"/>
  <c r="G26" i="27"/>
  <c r="H29" i="25"/>
  <c r="G27" i="24"/>
  <c r="G28" i="23"/>
  <c r="G29" i="22"/>
  <c r="G32" i="11"/>
  <c r="G34" i="10"/>
  <c r="G31" i="8"/>
  <c r="G33" i="7"/>
  <c r="G31" i="6"/>
  <c r="G30" i="5"/>
  <c r="G30" i="4"/>
  <c r="G30" i="3"/>
  <c r="G22" i="44"/>
  <c r="D23" i="44"/>
  <c r="H22" i="44"/>
  <c r="B22" i="13"/>
  <c r="E22" i="13"/>
  <c r="F22" i="13" s="1"/>
  <c r="G22" i="39"/>
  <c r="I22" i="39" s="1"/>
  <c r="G21" i="41"/>
  <c r="I21" i="41" s="1"/>
  <c r="H22" i="38"/>
  <c r="I22" i="38" s="1"/>
  <c r="I20" i="43"/>
  <c r="G21" i="42"/>
  <c r="I21" i="42" s="1"/>
  <c r="H21" i="40"/>
  <c r="I21" i="40" s="1"/>
  <c r="D27" i="27"/>
  <c r="E27" i="27"/>
  <c r="D26" i="29"/>
  <c r="E26" i="29"/>
  <c r="D30" i="22"/>
  <c r="E30" i="22"/>
  <c r="F33" i="9"/>
  <c r="H33" i="9" s="1"/>
  <c r="B33" i="9"/>
  <c r="D26" i="28"/>
  <c r="E26" i="28"/>
  <c r="G22" i="45"/>
  <c r="I22" i="45" s="1"/>
  <c r="I32" i="9"/>
  <c r="D24" i="37"/>
  <c r="E24" i="37"/>
  <c r="D23" i="39"/>
  <c r="E23" i="39"/>
  <c r="D26" i="31"/>
  <c r="E26" i="31"/>
  <c r="D32" i="6"/>
  <c r="E32" i="6"/>
  <c r="D33" i="11"/>
  <c r="E33" i="11"/>
  <c r="B22" i="46"/>
  <c r="D31" i="4"/>
  <c r="E31" i="4"/>
  <c r="D31" i="3"/>
  <c r="E31" i="3"/>
  <c r="D21" i="43"/>
  <c r="E21" i="43"/>
  <c r="D34" i="7"/>
  <c r="E34" i="7"/>
  <c r="E35" i="10"/>
  <c r="D35" i="10"/>
  <c r="D22" i="41"/>
  <c r="E22" i="41"/>
  <c r="D22" i="40"/>
  <c r="E22" i="40"/>
  <c r="G23" i="37"/>
  <c r="I23" i="37" s="1"/>
  <c r="D31" i="5"/>
  <c r="E31" i="5"/>
  <c r="D28" i="24"/>
  <c r="E28" i="24"/>
  <c r="D32" i="8"/>
  <c r="E32" i="8"/>
  <c r="D30" i="25"/>
  <c r="E30" i="25"/>
  <c r="E22" i="46"/>
  <c r="F22" i="46" s="1"/>
  <c r="D23" i="38"/>
  <c r="E23" i="38"/>
  <c r="D22" i="42"/>
  <c r="E22" i="42"/>
  <c r="D29" i="23"/>
  <c r="E29" i="23"/>
  <c r="D25" i="30"/>
  <c r="E25" i="30"/>
  <c r="D23" i="45"/>
  <c r="E23" i="45" s="1"/>
  <c r="J103" i="13"/>
  <c r="G104" i="13"/>
  <c r="D105" i="13"/>
  <c r="E105" i="13" s="1"/>
  <c r="N19" i="1" l="1"/>
  <c r="N7" i="13"/>
  <c r="D33" i="47"/>
  <c r="E33" i="47" s="1"/>
  <c r="G32" i="47"/>
  <c r="I32" i="47" s="1"/>
  <c r="G33" i="9"/>
  <c r="I22" i="44"/>
  <c r="E23" i="44"/>
  <c r="F23" i="44"/>
  <c r="B23" i="44"/>
  <c r="G22" i="13"/>
  <c r="H22" i="13"/>
  <c r="D23" i="13"/>
  <c r="B23" i="13" s="1"/>
  <c r="I26" i="27"/>
  <c r="B27" i="27"/>
  <c r="F27" i="27"/>
  <c r="H27" i="27" s="1"/>
  <c r="D23" i="46"/>
  <c r="E23" i="46" s="1"/>
  <c r="G22" i="46"/>
  <c r="H22" i="46"/>
  <c r="B28" i="24"/>
  <c r="F28" i="24"/>
  <c r="H28" i="24" s="1"/>
  <c r="I32" i="11"/>
  <c r="B26" i="29"/>
  <c r="F26" i="29"/>
  <c r="H26" i="29" s="1"/>
  <c r="B22" i="42"/>
  <c r="F22" i="42"/>
  <c r="H22" i="42" s="1"/>
  <c r="B30" i="25"/>
  <c r="F30" i="25"/>
  <c r="H30" i="25" s="1"/>
  <c r="B32" i="8"/>
  <c r="F32" i="8"/>
  <c r="H32" i="8" s="1"/>
  <c r="B22" i="40"/>
  <c r="F22" i="40"/>
  <c r="H22" i="40" s="1"/>
  <c r="B35" i="10"/>
  <c r="F35" i="10"/>
  <c r="H35" i="10" s="1"/>
  <c r="F21" i="43"/>
  <c r="H21" i="43" s="1"/>
  <c r="B21" i="43"/>
  <c r="B32" i="6"/>
  <c r="F32" i="6"/>
  <c r="H32" i="6" s="1"/>
  <c r="B24" i="37"/>
  <c r="F24" i="37"/>
  <c r="G24" i="37" s="1"/>
  <c r="F26" i="28"/>
  <c r="G26" i="28" s="1"/>
  <c r="B26" i="28"/>
  <c r="D34" i="9"/>
  <c r="E34" i="9"/>
  <c r="F25" i="30"/>
  <c r="H25" i="30" s="1"/>
  <c r="B25" i="30"/>
  <c r="I28" i="23"/>
  <c r="B23" i="38"/>
  <c r="F23" i="38"/>
  <c r="G23" i="38" s="1"/>
  <c r="F31" i="5"/>
  <c r="H31" i="5" s="1"/>
  <c r="B31" i="5"/>
  <c r="I34" i="10"/>
  <c r="I30" i="4"/>
  <c r="F33" i="11"/>
  <c r="H33" i="11" s="1"/>
  <c r="B33" i="11"/>
  <c r="I31" i="6"/>
  <c r="B26" i="31"/>
  <c r="F26" i="31"/>
  <c r="G26" i="31" s="1"/>
  <c r="F23" i="39"/>
  <c r="B23" i="39"/>
  <c r="I29" i="22"/>
  <c r="I31" i="8"/>
  <c r="I33" i="7"/>
  <c r="B31" i="3"/>
  <c r="F31" i="3"/>
  <c r="H31" i="3" s="1"/>
  <c r="I25" i="31"/>
  <c r="F30" i="22"/>
  <c r="H30" i="22" s="1"/>
  <c r="B30" i="22"/>
  <c r="F23" i="45"/>
  <c r="H23" i="45" s="1"/>
  <c r="B23" i="45"/>
  <c r="I24" i="30"/>
  <c r="B29" i="23"/>
  <c r="F29" i="23"/>
  <c r="G29" i="23" s="1"/>
  <c r="I29" i="25"/>
  <c r="I27" i="24"/>
  <c r="I30" i="5"/>
  <c r="B22" i="41"/>
  <c r="F22" i="41"/>
  <c r="B34" i="7"/>
  <c r="F34" i="7"/>
  <c r="H34" i="7" s="1"/>
  <c r="I30" i="3"/>
  <c r="F31" i="4"/>
  <c r="H31" i="4" s="1"/>
  <c r="B31" i="4"/>
  <c r="I25" i="28"/>
  <c r="I25" i="29"/>
  <c r="H104" i="13"/>
  <c r="I104" i="13"/>
  <c r="B105" i="13"/>
  <c r="F105" i="13"/>
  <c r="O19" i="1" l="1"/>
  <c r="R133" i="1"/>
  <c r="N20" i="1"/>
  <c r="B33" i="47"/>
  <c r="F33" i="47"/>
  <c r="H33" i="47" s="1"/>
  <c r="E23" i="13"/>
  <c r="F23" i="13" s="1"/>
  <c r="H23" i="13" s="1"/>
  <c r="H26" i="31"/>
  <c r="G25" i="30"/>
  <c r="G26" i="29"/>
  <c r="H26" i="28"/>
  <c r="G27" i="27"/>
  <c r="G30" i="25"/>
  <c r="G28" i="24"/>
  <c r="H29" i="23"/>
  <c r="G30" i="22"/>
  <c r="G33" i="11"/>
  <c r="G35" i="10"/>
  <c r="G32" i="8"/>
  <c r="G34" i="7"/>
  <c r="G32" i="6"/>
  <c r="G31" i="5"/>
  <c r="G31" i="4"/>
  <c r="G31" i="3"/>
  <c r="I22" i="46"/>
  <c r="G21" i="43"/>
  <c r="I21" i="43" s="1"/>
  <c r="H23" i="44"/>
  <c r="D24" i="44"/>
  <c r="G23" i="44"/>
  <c r="H23" i="38"/>
  <c r="I23" i="38" s="1"/>
  <c r="I22" i="13"/>
  <c r="G22" i="42"/>
  <c r="I22" i="42" s="1"/>
  <c r="H24" i="37"/>
  <c r="I24" i="37" s="1"/>
  <c r="D28" i="27"/>
  <c r="E28" i="27"/>
  <c r="D24" i="39"/>
  <c r="E24" i="39"/>
  <c r="D35" i="7"/>
  <c r="E35" i="7"/>
  <c r="D30" i="23"/>
  <c r="E30" i="23"/>
  <c r="D32" i="3"/>
  <c r="E32" i="3"/>
  <c r="G23" i="39"/>
  <c r="D27" i="31"/>
  <c r="E27" i="31"/>
  <c r="D24" i="38"/>
  <c r="E24" i="38"/>
  <c r="D33" i="6"/>
  <c r="E33" i="6"/>
  <c r="D22" i="43"/>
  <c r="E22" i="43"/>
  <c r="G22" i="40"/>
  <c r="I22" i="40" s="1"/>
  <c r="D33" i="8"/>
  <c r="E33" i="8"/>
  <c r="D23" i="42"/>
  <c r="E23" i="42"/>
  <c r="D27" i="29"/>
  <c r="E27" i="29"/>
  <c r="D29" i="24"/>
  <c r="E29" i="24"/>
  <c r="D23" i="41"/>
  <c r="E23" i="41"/>
  <c r="D24" i="45"/>
  <c r="F34" i="9"/>
  <c r="H34" i="9" s="1"/>
  <c r="B34" i="9"/>
  <c r="D32" i="4"/>
  <c r="E32" i="4"/>
  <c r="H22" i="41"/>
  <c r="G23" i="45"/>
  <c r="I23" i="45" s="1"/>
  <c r="D31" i="22"/>
  <c r="E31" i="22"/>
  <c r="D34" i="11"/>
  <c r="E34" i="11"/>
  <c r="D32" i="5"/>
  <c r="E32" i="5"/>
  <c r="D26" i="30"/>
  <c r="E26" i="30"/>
  <c r="D27" i="28"/>
  <c r="E27" i="28"/>
  <c r="D25" i="37"/>
  <c r="E25" i="37"/>
  <c r="F23" i="46"/>
  <c r="G23" i="46" s="1"/>
  <c r="B23" i="46"/>
  <c r="G22" i="41"/>
  <c r="H23" i="39"/>
  <c r="I33" i="9"/>
  <c r="D36" i="10"/>
  <c r="E36" i="10"/>
  <c r="D23" i="40"/>
  <c r="E23" i="40"/>
  <c r="D31" i="25"/>
  <c r="E31" i="25"/>
  <c r="J104" i="13"/>
  <c r="G105" i="13"/>
  <c r="D106" i="13"/>
  <c r="E106" i="13" s="1"/>
  <c r="R134" i="1" l="1"/>
  <c r="F49" i="17"/>
  <c r="O20" i="1"/>
  <c r="D34" i="47"/>
  <c r="E34" i="47" s="1"/>
  <c r="G33" i="47"/>
  <c r="I33" i="47" s="1"/>
  <c r="G23" i="13"/>
  <c r="I23" i="13" s="1"/>
  <c r="D24" i="13"/>
  <c r="G34" i="9"/>
  <c r="I27" i="27"/>
  <c r="E24" i="44"/>
  <c r="F24" i="44" s="1"/>
  <c r="B24" i="44"/>
  <c r="I23" i="44"/>
  <c r="F28" i="27"/>
  <c r="G28" i="27" s="1"/>
  <c r="B28" i="27"/>
  <c r="I23" i="39"/>
  <c r="B27" i="28"/>
  <c r="F27" i="28"/>
  <c r="H27" i="28" s="1"/>
  <c r="E35" i="9"/>
  <c r="D35" i="9"/>
  <c r="B23" i="41"/>
  <c r="F23" i="41"/>
  <c r="G23" i="41" s="1"/>
  <c r="I32" i="6"/>
  <c r="F35" i="7"/>
  <c r="G35" i="7" s="1"/>
  <c r="B35" i="7"/>
  <c r="B36" i="10"/>
  <c r="F36" i="10"/>
  <c r="H36" i="10" s="1"/>
  <c r="B25" i="37"/>
  <c r="F25" i="37"/>
  <c r="H25" i="37" s="1"/>
  <c r="B34" i="11"/>
  <c r="F34" i="11"/>
  <c r="H34" i="11" s="1"/>
  <c r="F31" i="22"/>
  <c r="G31" i="22" s="1"/>
  <c r="B31" i="22"/>
  <c r="B24" i="45"/>
  <c r="F33" i="8"/>
  <c r="H33" i="8" s="1"/>
  <c r="B33" i="8"/>
  <c r="B22" i="43"/>
  <c r="F22" i="43"/>
  <c r="H22" i="43" s="1"/>
  <c r="I26" i="31"/>
  <c r="B31" i="25"/>
  <c r="F31" i="25"/>
  <c r="G31" i="25" s="1"/>
  <c r="F32" i="5"/>
  <c r="H32" i="5" s="1"/>
  <c r="B32" i="5"/>
  <c r="I30" i="25"/>
  <c r="B32" i="4"/>
  <c r="F32" i="4"/>
  <c r="H32" i="4" s="1"/>
  <c r="E24" i="45"/>
  <c r="F24" i="45" s="1"/>
  <c r="I28" i="24"/>
  <c r="F27" i="29"/>
  <c r="H27" i="29" s="1"/>
  <c r="B27" i="29"/>
  <c r="B23" i="42"/>
  <c r="F23" i="42"/>
  <c r="I32" i="8"/>
  <c r="F32" i="3"/>
  <c r="H32" i="3" s="1"/>
  <c r="B32" i="3"/>
  <c r="B30" i="23"/>
  <c r="F30" i="23"/>
  <c r="H30" i="23" s="1"/>
  <c r="I34" i="7"/>
  <c r="B24" i="39"/>
  <c r="F24" i="39"/>
  <c r="G24" i="39" s="1"/>
  <c r="D24" i="46"/>
  <c r="E24" i="46" s="1"/>
  <c r="F26" i="30"/>
  <c r="H26" i="30" s="1"/>
  <c r="B26" i="30"/>
  <c r="B29" i="24"/>
  <c r="F29" i="24"/>
  <c r="G29" i="24" s="1"/>
  <c r="B23" i="40"/>
  <c r="F23" i="40"/>
  <c r="H23" i="40" s="1"/>
  <c r="I35" i="10"/>
  <c r="H23" i="46"/>
  <c r="I23" i="46" s="1"/>
  <c r="I26" i="28"/>
  <c r="I25" i="30"/>
  <c r="I31" i="5"/>
  <c r="I33" i="11"/>
  <c r="I30" i="22"/>
  <c r="I22" i="41"/>
  <c r="I31" i="4"/>
  <c r="I26" i="29"/>
  <c r="B33" i="6"/>
  <c r="F33" i="6"/>
  <c r="H33" i="6" s="1"/>
  <c r="B24" i="38"/>
  <c r="F24" i="38"/>
  <c r="H24" i="38" s="1"/>
  <c r="F27" i="31"/>
  <c r="H27" i="31" s="1"/>
  <c r="B27" i="31"/>
  <c r="I31" i="3"/>
  <c r="I29" i="23"/>
  <c r="I105" i="13"/>
  <c r="N88" i="13" s="1"/>
  <c r="H105" i="13"/>
  <c r="M88" i="13" s="1"/>
  <c r="M89" i="13" s="1"/>
  <c r="B106" i="13"/>
  <c r="F106" i="13"/>
  <c r="O88" i="13" l="1"/>
  <c r="O89" i="13" s="1"/>
  <c r="N89" i="13"/>
  <c r="B34" i="47"/>
  <c r="F34" i="47"/>
  <c r="H34" i="47" s="1"/>
  <c r="B24" i="13"/>
  <c r="E24" i="13"/>
  <c r="F24" i="13" s="1"/>
  <c r="H24" i="13" s="1"/>
  <c r="H23" i="41"/>
  <c r="I23" i="41" s="1"/>
  <c r="G27" i="31"/>
  <c r="G26" i="30"/>
  <c r="G27" i="29"/>
  <c r="G27" i="28"/>
  <c r="H28" i="27"/>
  <c r="H31" i="25"/>
  <c r="H29" i="24"/>
  <c r="G30" i="23"/>
  <c r="H31" i="22"/>
  <c r="I31" i="22" s="1"/>
  <c r="G34" i="11"/>
  <c r="G36" i="10"/>
  <c r="G33" i="8"/>
  <c r="H35" i="7"/>
  <c r="G33" i="6"/>
  <c r="G32" i="5"/>
  <c r="G32" i="4"/>
  <c r="G32" i="3"/>
  <c r="G24" i="44"/>
  <c r="H24" i="44"/>
  <c r="D25" i="44"/>
  <c r="G25" i="37"/>
  <c r="I25" i="37" s="1"/>
  <c r="E29" i="27"/>
  <c r="D29" i="27"/>
  <c r="D25" i="45"/>
  <c r="G24" i="45"/>
  <c r="H24" i="45"/>
  <c r="D33" i="5"/>
  <c r="E33" i="5"/>
  <c r="D32" i="22"/>
  <c r="E32" i="22"/>
  <c r="D24" i="40"/>
  <c r="E24" i="40"/>
  <c r="D25" i="39"/>
  <c r="E25" i="39"/>
  <c r="D24" i="42"/>
  <c r="E24" i="42"/>
  <c r="D32" i="25"/>
  <c r="E32" i="25"/>
  <c r="D35" i="11"/>
  <c r="E35" i="11"/>
  <c r="I34" i="9"/>
  <c r="D28" i="28"/>
  <c r="E28" i="28"/>
  <c r="D28" i="31"/>
  <c r="E28" i="31"/>
  <c r="D25" i="38"/>
  <c r="E25" i="38"/>
  <c r="D34" i="6"/>
  <c r="E34" i="6"/>
  <c r="D27" i="30"/>
  <c r="E27" i="30"/>
  <c r="H24" i="39"/>
  <c r="D33" i="3"/>
  <c r="E33" i="3"/>
  <c r="G23" i="42"/>
  <c r="D28" i="29"/>
  <c r="E28" i="29"/>
  <c r="D23" i="43"/>
  <c r="E23" i="43"/>
  <c r="D34" i="8"/>
  <c r="E34" i="8"/>
  <c r="D36" i="7"/>
  <c r="E36" i="7"/>
  <c r="B35" i="9"/>
  <c r="F35" i="9"/>
  <c r="H35" i="9" s="1"/>
  <c r="G24" i="38"/>
  <c r="I24" i="38" s="1"/>
  <c r="G23" i="40"/>
  <c r="I23" i="40" s="1"/>
  <c r="D30" i="24"/>
  <c r="E30" i="24"/>
  <c r="B24" i="46"/>
  <c r="F24" i="46"/>
  <c r="G24" i="46" s="1"/>
  <c r="D31" i="23"/>
  <c r="E31" i="23"/>
  <c r="H23" i="42"/>
  <c r="D33" i="4"/>
  <c r="E33" i="4"/>
  <c r="G22" i="43"/>
  <c r="I22" i="43" s="1"/>
  <c r="D26" i="37"/>
  <c r="E26" i="37"/>
  <c r="E37" i="10"/>
  <c r="D37" i="10"/>
  <c r="D24" i="41"/>
  <c r="E24" i="41"/>
  <c r="D107" i="13"/>
  <c r="E107" i="13" s="1"/>
  <c r="G106" i="13"/>
  <c r="J105" i="13"/>
  <c r="D35" i="47" l="1"/>
  <c r="E35" i="47" s="1"/>
  <c r="G34" i="47"/>
  <c r="I34" i="47" s="1"/>
  <c r="D25" i="13"/>
  <c r="G24" i="13"/>
  <c r="I24" i="13" s="1"/>
  <c r="I24" i="44"/>
  <c r="G35" i="9"/>
  <c r="B25" i="44"/>
  <c r="E25" i="44"/>
  <c r="F25" i="44" s="1"/>
  <c r="I28" i="27"/>
  <c r="I36" i="10"/>
  <c r="I31" i="25"/>
  <c r="I27" i="29"/>
  <c r="I34" i="11"/>
  <c r="I29" i="24"/>
  <c r="I32" i="4"/>
  <c r="I27" i="28"/>
  <c r="I24" i="45"/>
  <c r="I35" i="7"/>
  <c r="I32" i="5"/>
  <c r="F29" i="27"/>
  <c r="H29" i="27" s="1"/>
  <c r="B29" i="27"/>
  <c r="B33" i="3"/>
  <c r="F33" i="3"/>
  <c r="H33" i="3" s="1"/>
  <c r="F28" i="28"/>
  <c r="G28" i="28" s="1"/>
  <c r="B28" i="28"/>
  <c r="B31" i="23"/>
  <c r="F31" i="23"/>
  <c r="H31" i="23" s="1"/>
  <c r="B30" i="24"/>
  <c r="F30" i="24"/>
  <c r="H30" i="24" s="1"/>
  <c r="F34" i="8"/>
  <c r="H34" i="8" s="1"/>
  <c r="B34" i="8"/>
  <c r="I24" i="39"/>
  <c r="B34" i="6"/>
  <c r="F34" i="6"/>
  <c r="H34" i="6" s="1"/>
  <c r="B28" i="31"/>
  <c r="F28" i="31"/>
  <c r="G28" i="31" s="1"/>
  <c r="B32" i="25"/>
  <c r="F32" i="25"/>
  <c r="H32" i="25" s="1"/>
  <c r="F24" i="42"/>
  <c r="G24" i="42" s="1"/>
  <c r="B24" i="42"/>
  <c r="F24" i="40"/>
  <c r="H24" i="40" s="1"/>
  <c r="B24" i="40"/>
  <c r="F27" i="30"/>
  <c r="H27" i="30" s="1"/>
  <c r="B27" i="30"/>
  <c r="B24" i="41"/>
  <c r="F24" i="41"/>
  <c r="I23" i="42"/>
  <c r="B28" i="29"/>
  <c r="F28" i="29"/>
  <c r="H28" i="29" s="1"/>
  <c r="I32" i="3"/>
  <c r="I27" i="31"/>
  <c r="B35" i="11"/>
  <c r="F35" i="11"/>
  <c r="G35" i="11" s="1"/>
  <c r="B25" i="45"/>
  <c r="F33" i="4"/>
  <c r="G33" i="4" s="1"/>
  <c r="B33" i="4"/>
  <c r="D25" i="46"/>
  <c r="E25" i="46" s="1"/>
  <c r="F37" i="10"/>
  <c r="G37" i="10" s="1"/>
  <c r="B37" i="10"/>
  <c r="F26" i="37"/>
  <c r="B26" i="37"/>
  <c r="I30" i="23"/>
  <c r="H24" i="46"/>
  <c r="I24" i="46" s="1"/>
  <c r="E36" i="9"/>
  <c r="D36" i="9"/>
  <c r="B36" i="7"/>
  <c r="F36" i="7"/>
  <c r="H36" i="7" s="1"/>
  <c r="I33" i="8"/>
  <c r="B23" i="43"/>
  <c r="F23" i="43"/>
  <c r="I26" i="30"/>
  <c r="I33" i="6"/>
  <c r="F25" i="38"/>
  <c r="G25" i="38" s="1"/>
  <c r="B25" i="38"/>
  <c r="F25" i="39"/>
  <c r="H25" i="39" s="1"/>
  <c r="B25" i="39"/>
  <c r="F32" i="22"/>
  <c r="H32" i="22" s="1"/>
  <c r="B32" i="22"/>
  <c r="B33" i="5"/>
  <c r="F33" i="5"/>
  <c r="H33" i="5" s="1"/>
  <c r="E25" i="45"/>
  <c r="F25" i="45" s="1"/>
  <c r="H106" i="13"/>
  <c r="I106" i="13"/>
  <c r="F107" i="13"/>
  <c r="B107" i="13"/>
  <c r="F35" i="47" l="1"/>
  <c r="B35" i="47"/>
  <c r="B25" i="13"/>
  <c r="E25" i="13"/>
  <c r="F25" i="13" s="1"/>
  <c r="H28" i="31"/>
  <c r="G27" i="30"/>
  <c r="G28" i="29"/>
  <c r="H28" i="28"/>
  <c r="G29" i="27"/>
  <c r="G32" i="25"/>
  <c r="G30" i="24"/>
  <c r="G31" i="23"/>
  <c r="G32" i="22"/>
  <c r="H35" i="11"/>
  <c r="H37" i="10"/>
  <c r="G34" i="8"/>
  <c r="G36" i="7"/>
  <c r="G34" i="6"/>
  <c r="G33" i="5"/>
  <c r="H33" i="4"/>
  <c r="G33" i="3"/>
  <c r="D26" i="44"/>
  <c r="H25" i="44"/>
  <c r="G25" i="44"/>
  <c r="G24" i="40"/>
  <c r="I24" i="40" s="1"/>
  <c r="H24" i="42"/>
  <c r="I24" i="42" s="1"/>
  <c r="E30" i="27"/>
  <c r="D30" i="27"/>
  <c r="D26" i="45"/>
  <c r="E26" i="45" s="1"/>
  <c r="H25" i="45"/>
  <c r="G25" i="45"/>
  <c r="D24" i="43"/>
  <c r="E24" i="43"/>
  <c r="D27" i="37"/>
  <c r="E27" i="37"/>
  <c r="D34" i="4"/>
  <c r="E34" i="4"/>
  <c r="D29" i="31"/>
  <c r="E29" i="31"/>
  <c r="D31" i="24"/>
  <c r="E31" i="24"/>
  <c r="D33" i="22"/>
  <c r="E33" i="22"/>
  <c r="D26" i="39"/>
  <c r="E26" i="39"/>
  <c r="D26" i="38"/>
  <c r="E26" i="38"/>
  <c r="H23" i="43"/>
  <c r="D37" i="7"/>
  <c r="E37" i="7"/>
  <c r="B36" i="9"/>
  <c r="F36" i="9"/>
  <c r="H36" i="9" s="1"/>
  <c r="H26" i="37"/>
  <c r="D36" i="11"/>
  <c r="E36" i="11"/>
  <c r="D29" i="29"/>
  <c r="E29" i="29"/>
  <c r="D28" i="30"/>
  <c r="E28" i="30"/>
  <c r="D25" i="42"/>
  <c r="E25" i="42"/>
  <c r="D29" i="28"/>
  <c r="E29" i="28"/>
  <c r="D25" i="41"/>
  <c r="E25" i="41"/>
  <c r="D34" i="5"/>
  <c r="E34" i="5"/>
  <c r="G25" i="39"/>
  <c r="I25" i="39" s="1"/>
  <c r="H25" i="38"/>
  <c r="I25" i="38" s="1"/>
  <c r="E38" i="10"/>
  <c r="D38" i="10"/>
  <c r="F25" i="46"/>
  <c r="G25" i="46" s="1"/>
  <c r="B25" i="46"/>
  <c r="H24" i="41"/>
  <c r="D25" i="40"/>
  <c r="E25" i="40"/>
  <c r="D35" i="6"/>
  <c r="E35" i="6"/>
  <c r="D32" i="23"/>
  <c r="E32" i="23"/>
  <c r="D34" i="3"/>
  <c r="E34" i="3"/>
  <c r="G23" i="43"/>
  <c r="I35" i="9"/>
  <c r="G26" i="37"/>
  <c r="G24" i="41"/>
  <c r="D33" i="25"/>
  <c r="E33" i="25"/>
  <c r="D35" i="8"/>
  <c r="E35" i="8"/>
  <c r="J106" i="13"/>
  <c r="G107" i="13"/>
  <c r="D108" i="13"/>
  <c r="E108" i="13" s="1"/>
  <c r="D36" i="47" l="1"/>
  <c r="E36" i="47" s="1"/>
  <c r="G35" i="47"/>
  <c r="H35" i="47"/>
  <c r="I35" i="47" s="1"/>
  <c r="D26" i="13"/>
  <c r="H25" i="13"/>
  <c r="G25" i="13"/>
  <c r="G36" i="9"/>
  <c r="I36" i="7"/>
  <c r="I25" i="44"/>
  <c r="E26" i="44"/>
  <c r="F26" i="44" s="1"/>
  <c r="B26" i="44"/>
  <c r="I29" i="27"/>
  <c r="I28" i="31"/>
  <c r="I32" i="22"/>
  <c r="I34" i="8"/>
  <c r="B30" i="27"/>
  <c r="F30" i="27"/>
  <c r="G30" i="27" s="1"/>
  <c r="I26" i="37"/>
  <c r="I37" i="10"/>
  <c r="I33" i="5"/>
  <c r="I27" i="30"/>
  <c r="I28" i="29"/>
  <c r="I35" i="11"/>
  <c r="I33" i="3"/>
  <c r="I34" i="6"/>
  <c r="I24" i="41"/>
  <c r="B35" i="8"/>
  <c r="F35" i="8"/>
  <c r="G35" i="8" s="1"/>
  <c r="F32" i="23"/>
  <c r="H32" i="23" s="1"/>
  <c r="B32" i="23"/>
  <c r="F25" i="40"/>
  <c r="H25" i="40" s="1"/>
  <c r="B25" i="40"/>
  <c r="I28" i="28"/>
  <c r="E37" i="9"/>
  <c r="D37" i="9"/>
  <c r="B26" i="38"/>
  <c r="F26" i="38"/>
  <c r="H26" i="38" s="1"/>
  <c r="B31" i="24"/>
  <c r="F31" i="24"/>
  <c r="H31" i="24" s="1"/>
  <c r="B34" i="4"/>
  <c r="F34" i="4"/>
  <c r="H34" i="4" s="1"/>
  <c r="F24" i="43"/>
  <c r="B24" i="43"/>
  <c r="B26" i="45"/>
  <c r="F26" i="45"/>
  <c r="F34" i="5"/>
  <c r="H34" i="5" s="1"/>
  <c r="B34" i="5"/>
  <c r="I32" i="25"/>
  <c r="F34" i="3"/>
  <c r="H34" i="3" s="1"/>
  <c r="B34" i="3"/>
  <c r="I31" i="23"/>
  <c r="B35" i="6"/>
  <c r="F35" i="6"/>
  <c r="H35" i="6" s="1"/>
  <c r="F28" i="30"/>
  <c r="H28" i="30" s="1"/>
  <c r="B28" i="30"/>
  <c r="B37" i="7"/>
  <c r="F37" i="7"/>
  <c r="H37" i="7" s="1"/>
  <c r="D26" i="46"/>
  <c r="B25" i="41"/>
  <c r="F25" i="41"/>
  <c r="H25" i="41" s="1"/>
  <c r="B33" i="25"/>
  <c r="F33" i="25"/>
  <c r="G33" i="25" s="1"/>
  <c r="H25" i="46"/>
  <c r="I25" i="46" s="1"/>
  <c r="B38" i="10"/>
  <c r="F38" i="10"/>
  <c r="H38" i="10" s="1"/>
  <c r="B29" i="28"/>
  <c r="F29" i="28"/>
  <c r="H29" i="28" s="1"/>
  <c r="F25" i="42"/>
  <c r="B25" i="42"/>
  <c r="F29" i="29"/>
  <c r="H29" i="29" s="1"/>
  <c r="B29" i="29"/>
  <c r="F36" i="11"/>
  <c r="H36" i="11" s="1"/>
  <c r="B36" i="11"/>
  <c r="I23" i="43"/>
  <c r="F26" i="39"/>
  <c r="H26" i="39" s="1"/>
  <c r="B26" i="39"/>
  <c r="F33" i="22"/>
  <c r="H33" i="22" s="1"/>
  <c r="B33" i="22"/>
  <c r="I30" i="24"/>
  <c r="F29" i="31"/>
  <c r="H29" i="31" s="1"/>
  <c r="B29" i="31"/>
  <c r="I33" i="4"/>
  <c r="F27" i="37"/>
  <c r="B27" i="37"/>
  <c r="I25" i="45"/>
  <c r="H107" i="13"/>
  <c r="I107" i="13"/>
  <c r="B108" i="13"/>
  <c r="F108" i="13"/>
  <c r="F36" i="47" l="1"/>
  <c r="B36" i="47"/>
  <c r="H36" i="47"/>
  <c r="I25" i="13"/>
  <c r="E26" i="13"/>
  <c r="B26" i="13"/>
  <c r="F26" i="13"/>
  <c r="G29" i="31"/>
  <c r="G28" i="30"/>
  <c r="G29" i="29"/>
  <c r="G29" i="28"/>
  <c r="H30" i="27"/>
  <c r="H33" i="25"/>
  <c r="G31" i="24"/>
  <c r="G32" i="23"/>
  <c r="G33" i="22"/>
  <c r="G36" i="11"/>
  <c r="G38" i="10"/>
  <c r="H35" i="8"/>
  <c r="G37" i="7"/>
  <c r="G35" i="6"/>
  <c r="G34" i="5"/>
  <c r="G34" i="4"/>
  <c r="G34" i="3"/>
  <c r="H26" i="44"/>
  <c r="G26" i="44"/>
  <c r="D27" i="44"/>
  <c r="G26" i="38"/>
  <c r="I26" i="38" s="1"/>
  <c r="G26" i="39"/>
  <c r="I26" i="39" s="1"/>
  <c r="E31" i="27"/>
  <c r="D31" i="27"/>
  <c r="E28" i="37"/>
  <c r="D28" i="37"/>
  <c r="D38" i="7"/>
  <c r="E38" i="7"/>
  <c r="D35" i="3"/>
  <c r="E35" i="3"/>
  <c r="D25" i="43"/>
  <c r="E25" i="43"/>
  <c r="G27" i="37"/>
  <c r="D37" i="11"/>
  <c r="E37" i="11"/>
  <c r="D26" i="42"/>
  <c r="E26" i="42"/>
  <c r="D34" i="25"/>
  <c r="E34" i="25"/>
  <c r="D26" i="41"/>
  <c r="E26" i="41"/>
  <c r="D27" i="45"/>
  <c r="G24" i="43"/>
  <c r="D35" i="4"/>
  <c r="E35" i="4"/>
  <c r="B37" i="9"/>
  <c r="F37" i="9"/>
  <c r="G37" i="9" s="1"/>
  <c r="D26" i="40"/>
  <c r="E26" i="40"/>
  <c r="D30" i="28"/>
  <c r="E30" i="28"/>
  <c r="B26" i="46"/>
  <c r="D36" i="6"/>
  <c r="E36" i="6"/>
  <c r="D35" i="5"/>
  <c r="E35" i="5"/>
  <c r="H27" i="37"/>
  <c r="D34" i="22"/>
  <c r="E34" i="22"/>
  <c r="D27" i="39"/>
  <c r="E27" i="39"/>
  <c r="G25" i="42"/>
  <c r="E39" i="10"/>
  <c r="D39" i="10"/>
  <c r="H26" i="45"/>
  <c r="D27" i="38"/>
  <c r="E27" i="38"/>
  <c r="I36" i="9"/>
  <c r="G25" i="40"/>
  <c r="I25" i="40" s="1"/>
  <c r="D36" i="8"/>
  <c r="E36" i="8"/>
  <c r="D30" i="31"/>
  <c r="E30" i="31"/>
  <c r="D30" i="29"/>
  <c r="E30" i="29"/>
  <c r="H25" i="42"/>
  <c r="G25" i="41"/>
  <c r="I25" i="41" s="1"/>
  <c r="E26" i="46"/>
  <c r="F26" i="46" s="1"/>
  <c r="D29" i="30"/>
  <c r="E29" i="30"/>
  <c r="G26" i="45"/>
  <c r="H24" i="43"/>
  <c r="D32" i="24"/>
  <c r="E32" i="24"/>
  <c r="D33" i="23"/>
  <c r="E33" i="23"/>
  <c r="J107" i="13"/>
  <c r="G108" i="13"/>
  <c r="D109" i="13"/>
  <c r="E109" i="13" s="1"/>
  <c r="D37" i="47" l="1"/>
  <c r="E37" i="47"/>
  <c r="G36" i="47"/>
  <c r="I36" i="47" s="1"/>
  <c r="G26" i="13"/>
  <c r="D27" i="13"/>
  <c r="H26" i="13"/>
  <c r="I26" i="44"/>
  <c r="H37" i="9"/>
  <c r="I33" i="22"/>
  <c r="I34" i="4"/>
  <c r="E27" i="44"/>
  <c r="F27" i="44" s="1"/>
  <c r="B27" i="44"/>
  <c r="I25" i="42"/>
  <c r="I27" i="37"/>
  <c r="I34" i="5"/>
  <c r="I37" i="7"/>
  <c r="I29" i="31"/>
  <c r="I35" i="6"/>
  <c r="I30" i="27"/>
  <c r="I29" i="29"/>
  <c r="I36" i="11"/>
  <c r="I26" i="45"/>
  <c r="I38" i="10"/>
  <c r="I29" i="28"/>
  <c r="F31" i="27"/>
  <c r="H31" i="27" s="1"/>
  <c r="B31" i="27"/>
  <c r="D27" i="46"/>
  <c r="G26" i="46"/>
  <c r="H26" i="46"/>
  <c r="B32" i="24"/>
  <c r="F32" i="24"/>
  <c r="H32" i="24" s="1"/>
  <c r="F30" i="29"/>
  <c r="H30" i="29" s="1"/>
  <c r="B30" i="29"/>
  <c r="F39" i="10"/>
  <c r="H39" i="10" s="1"/>
  <c r="B39" i="10"/>
  <c r="F30" i="28"/>
  <c r="G30" i="28" s="1"/>
  <c r="B30" i="28"/>
  <c r="B26" i="40"/>
  <c r="F26" i="40"/>
  <c r="H26" i="40" s="1"/>
  <c r="B27" i="45"/>
  <c r="B25" i="43"/>
  <c r="F25" i="43"/>
  <c r="I34" i="3"/>
  <c r="I24" i="43"/>
  <c r="I28" i="30"/>
  <c r="B36" i="8"/>
  <c r="F36" i="8"/>
  <c r="H36" i="8" s="1"/>
  <c r="B34" i="22"/>
  <c r="F34" i="22"/>
  <c r="H34" i="22" s="1"/>
  <c r="F35" i="5"/>
  <c r="H35" i="5" s="1"/>
  <c r="B35" i="5"/>
  <c r="F36" i="6"/>
  <c r="H36" i="6" s="1"/>
  <c r="B36" i="6"/>
  <c r="E38" i="9"/>
  <c r="D38" i="9"/>
  <c r="B35" i="4"/>
  <c r="F35" i="4"/>
  <c r="H35" i="4" s="1"/>
  <c r="E27" i="45"/>
  <c r="F27" i="45" s="1"/>
  <c r="F34" i="25"/>
  <c r="H34" i="25" s="1"/>
  <c r="B34" i="25"/>
  <c r="B26" i="42"/>
  <c r="F26" i="42"/>
  <c r="H26" i="42" s="1"/>
  <c r="F37" i="11"/>
  <c r="H37" i="11" s="1"/>
  <c r="B37" i="11"/>
  <c r="F30" i="31"/>
  <c r="G30" i="31" s="1"/>
  <c r="B30" i="31"/>
  <c r="B26" i="41"/>
  <c r="F26" i="41"/>
  <c r="H26" i="41" s="1"/>
  <c r="B38" i="7"/>
  <c r="F38" i="7"/>
  <c r="H38" i="7" s="1"/>
  <c r="B33" i="23"/>
  <c r="F33" i="23"/>
  <c r="G33" i="23" s="1"/>
  <c r="I32" i="23"/>
  <c r="I31" i="24"/>
  <c r="F29" i="30"/>
  <c r="H29" i="30" s="1"/>
  <c r="B29" i="30"/>
  <c r="I35" i="8"/>
  <c r="B27" i="38"/>
  <c r="F27" i="38"/>
  <c r="G27" i="38" s="1"/>
  <c r="B27" i="39"/>
  <c r="F27" i="39"/>
  <c r="H27" i="39" s="1"/>
  <c r="I33" i="25"/>
  <c r="F35" i="3"/>
  <c r="H35" i="3" s="1"/>
  <c r="B35" i="3"/>
  <c r="B28" i="37"/>
  <c r="F28" i="37"/>
  <c r="I108" i="13"/>
  <c r="H108" i="13"/>
  <c r="F109" i="13"/>
  <c r="B109" i="13"/>
  <c r="I26" i="13" l="1"/>
  <c r="B37" i="47"/>
  <c r="F37" i="47"/>
  <c r="H37" i="47" s="1"/>
  <c r="E27" i="13"/>
  <c r="F27" i="13" s="1"/>
  <c r="B27" i="13"/>
  <c r="H30" i="31"/>
  <c r="G29" i="30"/>
  <c r="G30" i="29"/>
  <c r="H30" i="28"/>
  <c r="G31" i="27"/>
  <c r="G34" i="25"/>
  <c r="G32" i="24"/>
  <c r="H33" i="23"/>
  <c r="G34" i="22"/>
  <c r="G37" i="11"/>
  <c r="G39" i="10"/>
  <c r="G36" i="8"/>
  <c r="G38" i="7"/>
  <c r="G36" i="6"/>
  <c r="G35" i="5"/>
  <c r="G35" i="4"/>
  <c r="G35" i="3"/>
  <c r="G26" i="42"/>
  <c r="I26" i="42" s="1"/>
  <c r="H27" i="44"/>
  <c r="D28" i="44"/>
  <c r="G27" i="44"/>
  <c r="I26" i="46"/>
  <c r="D32" i="27"/>
  <c r="E32" i="27"/>
  <c r="D28" i="45"/>
  <c r="E28" i="45" s="1"/>
  <c r="H27" i="45"/>
  <c r="G27" i="45"/>
  <c r="D38" i="11"/>
  <c r="E38" i="11"/>
  <c r="D26" i="43"/>
  <c r="E26" i="43"/>
  <c r="D28" i="39"/>
  <c r="E28" i="39"/>
  <c r="D28" i="38"/>
  <c r="E28" i="38"/>
  <c r="D36" i="5"/>
  <c r="E36" i="5"/>
  <c r="G25" i="43"/>
  <c r="G26" i="40"/>
  <c r="I26" i="40" s="1"/>
  <c r="D31" i="28"/>
  <c r="E31" i="28"/>
  <c r="D31" i="29"/>
  <c r="E31" i="29"/>
  <c r="D36" i="4"/>
  <c r="E36" i="4"/>
  <c r="D37" i="8"/>
  <c r="E37" i="8"/>
  <c r="D29" i="37"/>
  <c r="E29" i="37"/>
  <c r="G28" i="37"/>
  <c r="D36" i="3"/>
  <c r="E36" i="3"/>
  <c r="H27" i="38"/>
  <c r="I27" i="38" s="1"/>
  <c r="D34" i="23"/>
  <c r="E34" i="23"/>
  <c r="D27" i="41"/>
  <c r="E27" i="41"/>
  <c r="D35" i="25"/>
  <c r="E35" i="25"/>
  <c r="B38" i="9"/>
  <c r="F38" i="9"/>
  <c r="H38" i="9" s="1"/>
  <c r="D35" i="22"/>
  <c r="E35" i="22"/>
  <c r="D33" i="24"/>
  <c r="E33" i="24"/>
  <c r="B27" i="46"/>
  <c r="D39" i="7"/>
  <c r="E39" i="7"/>
  <c r="D27" i="40"/>
  <c r="E27" i="40"/>
  <c r="H28" i="37"/>
  <c r="G27" i="39"/>
  <c r="I27" i="39" s="1"/>
  <c r="D30" i="30"/>
  <c r="E30" i="30"/>
  <c r="G26" i="41"/>
  <c r="I26" i="41" s="1"/>
  <c r="D31" i="31"/>
  <c r="E31" i="31"/>
  <c r="D27" i="42"/>
  <c r="E27" i="42"/>
  <c r="I37" i="9"/>
  <c r="D37" i="6"/>
  <c r="E37" i="6"/>
  <c r="H25" i="43"/>
  <c r="D40" i="10"/>
  <c r="E40" i="10"/>
  <c r="E27" i="46"/>
  <c r="F27" i="46" s="1"/>
  <c r="G109" i="13"/>
  <c r="D110" i="13"/>
  <c r="E110" i="13" s="1"/>
  <c r="J108" i="13"/>
  <c r="D38" i="47" l="1"/>
  <c r="E38" i="47"/>
  <c r="G37" i="47"/>
  <c r="I37" i="47" s="1"/>
  <c r="D28" i="13"/>
  <c r="H27" i="13"/>
  <c r="G27" i="13"/>
  <c r="I25" i="43"/>
  <c r="G38" i="9"/>
  <c r="I27" i="44"/>
  <c r="E28" i="44"/>
  <c r="F28" i="44" s="1"/>
  <c r="G28" i="44" s="1"/>
  <c r="B28" i="44"/>
  <c r="I39" i="10"/>
  <c r="I30" i="31"/>
  <c r="I34" i="22"/>
  <c r="I35" i="4"/>
  <c r="I28" i="37"/>
  <c r="I32" i="24"/>
  <c r="I37" i="11"/>
  <c r="F32" i="27"/>
  <c r="G32" i="27" s="1"/>
  <c r="B32" i="27"/>
  <c r="I33" i="23"/>
  <c r="I30" i="29"/>
  <c r="I30" i="28"/>
  <c r="I35" i="3"/>
  <c r="I31" i="27"/>
  <c r="D28" i="46"/>
  <c r="E28" i="46" s="1"/>
  <c r="H27" i="46"/>
  <c r="G27" i="46"/>
  <c r="B40" i="10"/>
  <c r="F40" i="10"/>
  <c r="H40" i="10" s="1"/>
  <c r="F27" i="42"/>
  <c r="H27" i="42" s="1"/>
  <c r="B27" i="42"/>
  <c r="B28" i="39"/>
  <c r="F28" i="39"/>
  <c r="B30" i="30"/>
  <c r="F30" i="30"/>
  <c r="H30" i="30" s="1"/>
  <c r="F35" i="22"/>
  <c r="G35" i="22" s="1"/>
  <c r="B35" i="22"/>
  <c r="B34" i="23"/>
  <c r="F34" i="23"/>
  <c r="H34" i="23" s="1"/>
  <c r="B36" i="4"/>
  <c r="F36" i="4"/>
  <c r="H36" i="4" s="1"/>
  <c r="I27" i="45"/>
  <c r="B27" i="40"/>
  <c r="F27" i="40"/>
  <c r="G27" i="40" s="1"/>
  <c r="B36" i="5"/>
  <c r="F36" i="5"/>
  <c r="H36" i="5" s="1"/>
  <c r="I36" i="6"/>
  <c r="I38" i="7"/>
  <c r="I34" i="25"/>
  <c r="I36" i="8"/>
  <c r="F31" i="29"/>
  <c r="H31" i="29" s="1"/>
  <c r="B31" i="29"/>
  <c r="B31" i="28"/>
  <c r="F31" i="28"/>
  <c r="H31" i="28" s="1"/>
  <c r="F28" i="38"/>
  <c r="G28" i="38" s="1"/>
  <c r="B28" i="38"/>
  <c r="F26" i="43"/>
  <c r="H26" i="43" s="1"/>
  <c r="B26" i="43"/>
  <c r="F38" i="11"/>
  <c r="H38" i="11" s="1"/>
  <c r="B38" i="11"/>
  <c r="B39" i="7"/>
  <c r="F39" i="7"/>
  <c r="G39" i="7" s="1"/>
  <c r="B37" i="6"/>
  <c r="F37" i="6"/>
  <c r="H37" i="6" s="1"/>
  <c r="F31" i="31"/>
  <c r="G31" i="31" s="1"/>
  <c r="B31" i="31"/>
  <c r="I29" i="30"/>
  <c r="F33" i="24"/>
  <c r="G33" i="24" s="1"/>
  <c r="B33" i="24"/>
  <c r="D39" i="9"/>
  <c r="E39" i="9"/>
  <c r="F35" i="25"/>
  <c r="G35" i="25" s="1"/>
  <c r="B35" i="25"/>
  <c r="F27" i="41"/>
  <c r="G27" i="41" s="1"/>
  <c r="B27" i="41"/>
  <c r="B36" i="3"/>
  <c r="F36" i="3"/>
  <c r="H36" i="3" s="1"/>
  <c r="B29" i="37"/>
  <c r="F29" i="37"/>
  <c r="H29" i="37" s="1"/>
  <c r="F37" i="8"/>
  <c r="H37" i="8" s="1"/>
  <c r="B37" i="8"/>
  <c r="I35" i="5"/>
  <c r="B28" i="45"/>
  <c r="F28" i="45"/>
  <c r="H28" i="45" s="1"/>
  <c r="F110" i="13"/>
  <c r="B110" i="13"/>
  <c r="H109" i="13"/>
  <c r="I109" i="13"/>
  <c r="F38" i="47" l="1"/>
  <c r="H38" i="47" s="1"/>
  <c r="B38" i="47"/>
  <c r="I27" i="13"/>
  <c r="B28" i="13"/>
  <c r="E28" i="13"/>
  <c r="F28" i="13" s="1"/>
  <c r="H31" i="31"/>
  <c r="G30" i="30"/>
  <c r="G31" i="29"/>
  <c r="G31" i="28"/>
  <c r="H32" i="27"/>
  <c r="H35" i="25"/>
  <c r="H33" i="24"/>
  <c r="G34" i="23"/>
  <c r="H35" i="22"/>
  <c r="G38" i="11"/>
  <c r="G40" i="10"/>
  <c r="G37" i="8"/>
  <c r="H39" i="7"/>
  <c r="G37" i="6"/>
  <c r="G36" i="5"/>
  <c r="G36" i="4"/>
  <c r="G36" i="3"/>
  <c r="H28" i="44"/>
  <c r="I28" i="44" s="1"/>
  <c r="D29" i="44"/>
  <c r="I38" i="9"/>
  <c r="H28" i="38"/>
  <c r="I28" i="38" s="1"/>
  <c r="G29" i="37"/>
  <c r="H27" i="41"/>
  <c r="I27" i="41" s="1"/>
  <c r="H27" i="40"/>
  <c r="I27" i="40" s="1"/>
  <c r="D33" i="27"/>
  <c r="E33" i="27"/>
  <c r="D37" i="3"/>
  <c r="E37" i="3"/>
  <c r="D37" i="5"/>
  <c r="E37" i="5"/>
  <c r="D36" i="22"/>
  <c r="E36" i="22"/>
  <c r="D29" i="45"/>
  <c r="E29" i="45" s="1"/>
  <c r="I29" i="37"/>
  <c r="D34" i="24"/>
  <c r="E34" i="24"/>
  <c r="D32" i="31"/>
  <c r="E32" i="31"/>
  <c r="D39" i="11"/>
  <c r="E39" i="11"/>
  <c r="D27" i="43"/>
  <c r="E27" i="43"/>
  <c r="D32" i="29"/>
  <c r="E32" i="29"/>
  <c r="D35" i="23"/>
  <c r="E35" i="23"/>
  <c r="D31" i="30"/>
  <c r="E31" i="30"/>
  <c r="E41" i="10"/>
  <c r="D41" i="10"/>
  <c r="I27" i="46"/>
  <c r="D29" i="39"/>
  <c r="E29" i="39"/>
  <c r="G28" i="45"/>
  <c r="I28" i="45" s="1"/>
  <c r="E30" i="37"/>
  <c r="D30" i="37"/>
  <c r="D38" i="6"/>
  <c r="E38" i="6"/>
  <c r="D40" i="7"/>
  <c r="E40" i="7"/>
  <c r="D32" i="28"/>
  <c r="E32" i="28"/>
  <c r="H28" i="39"/>
  <c r="D28" i="42"/>
  <c r="E28" i="42"/>
  <c r="D38" i="8"/>
  <c r="E38" i="8"/>
  <c r="D28" i="41"/>
  <c r="E28" i="41"/>
  <c r="D36" i="25"/>
  <c r="E36" i="25"/>
  <c r="F39" i="9"/>
  <c r="H39" i="9" s="1"/>
  <c r="B39" i="9"/>
  <c r="G26" i="43"/>
  <c r="I26" i="43" s="1"/>
  <c r="D29" i="38"/>
  <c r="E29" i="38"/>
  <c r="D28" i="40"/>
  <c r="E28" i="40"/>
  <c r="D37" i="4"/>
  <c r="E37" i="4"/>
  <c r="G28" i="39"/>
  <c r="G27" i="42"/>
  <c r="I27" i="42" s="1"/>
  <c r="F28" i="46"/>
  <c r="G28" i="46" s="1"/>
  <c r="B28" i="46"/>
  <c r="J109" i="13"/>
  <c r="G110" i="13"/>
  <c r="D111" i="13"/>
  <c r="E111" i="13" s="1"/>
  <c r="D39" i="47" l="1"/>
  <c r="E39" i="47"/>
  <c r="G38" i="47"/>
  <c r="I38" i="47" s="1"/>
  <c r="H28" i="13"/>
  <c r="D29" i="13"/>
  <c r="G28" i="13"/>
  <c r="G39" i="9"/>
  <c r="B29" i="44"/>
  <c r="E29" i="44"/>
  <c r="F29" i="44" s="1"/>
  <c r="I36" i="4"/>
  <c r="I36" i="5"/>
  <c r="I35" i="25"/>
  <c r="I30" i="30"/>
  <c r="I34" i="23"/>
  <c r="I32" i="27"/>
  <c r="I39" i="7"/>
  <c r="B33" i="27"/>
  <c r="F33" i="27"/>
  <c r="H33" i="27" s="1"/>
  <c r="I31" i="29"/>
  <c r="I31" i="31"/>
  <c r="I36" i="3"/>
  <c r="I28" i="39"/>
  <c r="I31" i="28"/>
  <c r="F37" i="4"/>
  <c r="G37" i="4" s="1"/>
  <c r="B37" i="4"/>
  <c r="E40" i="9"/>
  <c r="D40" i="9"/>
  <c r="B31" i="30"/>
  <c r="F31" i="30"/>
  <c r="H31" i="30" s="1"/>
  <c r="B27" i="43"/>
  <c r="F27" i="43"/>
  <c r="H27" i="43" s="1"/>
  <c r="B37" i="3"/>
  <c r="F37" i="3"/>
  <c r="H37" i="3" s="1"/>
  <c r="F29" i="38"/>
  <c r="B29" i="38"/>
  <c r="F38" i="8"/>
  <c r="H38" i="8" s="1"/>
  <c r="B38" i="8"/>
  <c r="B30" i="37"/>
  <c r="F30" i="37"/>
  <c r="H30" i="37" s="1"/>
  <c r="I40" i="10"/>
  <c r="B32" i="29"/>
  <c r="F32" i="29"/>
  <c r="H32" i="29" s="1"/>
  <c r="I35" i="22"/>
  <c r="D29" i="46"/>
  <c r="E29" i="46" s="1"/>
  <c r="H28" i="46"/>
  <c r="I28" i="46" s="1"/>
  <c r="B36" i="25"/>
  <c r="F36" i="25"/>
  <c r="H36" i="25" s="1"/>
  <c r="B28" i="41"/>
  <c r="F28" i="41"/>
  <c r="G28" i="41" s="1"/>
  <c r="I37" i="8"/>
  <c r="B32" i="28"/>
  <c r="F32" i="28"/>
  <c r="G32" i="28" s="1"/>
  <c r="I37" i="6"/>
  <c r="I38" i="11"/>
  <c r="I33" i="24"/>
  <c r="F29" i="39"/>
  <c r="G29" i="39" s="1"/>
  <c r="B29" i="39"/>
  <c r="B35" i="23"/>
  <c r="F35" i="23"/>
  <c r="H35" i="23" s="1"/>
  <c r="B32" i="31"/>
  <c r="F32" i="31"/>
  <c r="G32" i="31" s="1"/>
  <c r="B28" i="40"/>
  <c r="F28" i="40"/>
  <c r="H28" i="40" s="1"/>
  <c r="B28" i="42"/>
  <c r="F28" i="42"/>
  <c r="G28" i="42" s="1"/>
  <c r="B40" i="7"/>
  <c r="F40" i="7"/>
  <c r="H40" i="7" s="1"/>
  <c r="F38" i="6"/>
  <c r="H38" i="6" s="1"/>
  <c r="B38" i="6"/>
  <c r="B41" i="10"/>
  <c r="F41" i="10"/>
  <c r="G41" i="10" s="1"/>
  <c r="F39" i="11"/>
  <c r="G39" i="11" s="1"/>
  <c r="B39" i="11"/>
  <c r="F34" i="24"/>
  <c r="H34" i="24" s="1"/>
  <c r="B34" i="24"/>
  <c r="F29" i="45"/>
  <c r="B29" i="45"/>
  <c r="B36" i="22"/>
  <c r="F36" i="22"/>
  <c r="H36" i="22" s="1"/>
  <c r="F37" i="5"/>
  <c r="H37" i="5" s="1"/>
  <c r="B37" i="5"/>
  <c r="H110" i="13"/>
  <c r="I110" i="13"/>
  <c r="B111" i="13"/>
  <c r="F111" i="13"/>
  <c r="I28" i="13" l="1"/>
  <c r="F39" i="47"/>
  <c r="H39" i="47" s="1"/>
  <c r="B39" i="47"/>
  <c r="G39" i="47"/>
  <c r="E29" i="13"/>
  <c r="F29" i="13" s="1"/>
  <c r="B29" i="13"/>
  <c r="H32" i="31"/>
  <c r="G31" i="30"/>
  <c r="G32" i="29"/>
  <c r="H32" i="28"/>
  <c r="G33" i="27"/>
  <c r="G36" i="25"/>
  <c r="G34" i="24"/>
  <c r="G35" i="23"/>
  <c r="G36" i="22"/>
  <c r="H39" i="11"/>
  <c r="I39" i="11" s="1"/>
  <c r="H41" i="10"/>
  <c r="G38" i="8"/>
  <c r="G40" i="7"/>
  <c r="G38" i="6"/>
  <c r="G37" i="5"/>
  <c r="H37" i="4"/>
  <c r="G37" i="3"/>
  <c r="H29" i="44"/>
  <c r="D30" i="44"/>
  <c r="G29" i="44"/>
  <c r="G30" i="37"/>
  <c r="I30" i="37" s="1"/>
  <c r="H28" i="41"/>
  <c r="I28" i="41" s="1"/>
  <c r="G27" i="43"/>
  <c r="I27" i="43" s="1"/>
  <c r="H29" i="39"/>
  <c r="I29" i="39" s="1"/>
  <c r="E34" i="27"/>
  <c r="D34" i="27"/>
  <c r="D30" i="45"/>
  <c r="E30" i="45" s="1"/>
  <c r="D40" i="11"/>
  <c r="E40" i="11"/>
  <c r="D39" i="6"/>
  <c r="E39" i="6"/>
  <c r="D29" i="42"/>
  <c r="E29" i="42"/>
  <c r="D33" i="29"/>
  <c r="E33" i="29"/>
  <c r="D39" i="8"/>
  <c r="E39" i="8"/>
  <c r="D30" i="38"/>
  <c r="E30" i="38"/>
  <c r="F40" i="9"/>
  <c r="H40" i="9" s="1"/>
  <c r="B40" i="9"/>
  <c r="D38" i="4"/>
  <c r="E38" i="4"/>
  <c r="D33" i="31"/>
  <c r="E33" i="31"/>
  <c r="D33" i="28"/>
  <c r="E33" i="28"/>
  <c r="D38" i="5"/>
  <c r="E38" i="5"/>
  <c r="G29" i="45"/>
  <c r="D35" i="24"/>
  <c r="E35" i="24"/>
  <c r="D42" i="10"/>
  <c r="D41" i="7"/>
  <c r="E41" i="7"/>
  <c r="D36" i="23"/>
  <c r="E36" i="23"/>
  <c r="D30" i="39"/>
  <c r="E30" i="39"/>
  <c r="E31" i="37"/>
  <c r="D31" i="37"/>
  <c r="H29" i="38"/>
  <c r="D38" i="3"/>
  <c r="E38" i="3"/>
  <c r="D28" i="43"/>
  <c r="E28" i="43"/>
  <c r="D32" i="30"/>
  <c r="E32" i="30"/>
  <c r="I39" i="9"/>
  <c r="D29" i="40"/>
  <c r="E29" i="40"/>
  <c r="D37" i="22"/>
  <c r="E37" i="22"/>
  <c r="H29" i="45"/>
  <c r="I29" i="45" s="1"/>
  <c r="H28" i="42"/>
  <c r="I28" i="42" s="1"/>
  <c r="G28" i="40"/>
  <c r="I28" i="40" s="1"/>
  <c r="D29" i="41"/>
  <c r="E29" i="41"/>
  <c r="D37" i="25"/>
  <c r="E37" i="25"/>
  <c r="F29" i="46"/>
  <c r="G29" i="46" s="1"/>
  <c r="B29" i="46"/>
  <c r="G29" i="38"/>
  <c r="J110" i="13"/>
  <c r="G111" i="13"/>
  <c r="D112" i="13"/>
  <c r="E112" i="13" s="1"/>
  <c r="I39" i="47" l="1"/>
  <c r="D40" i="47"/>
  <c r="E40" i="47" s="1"/>
  <c r="D30" i="13"/>
  <c r="G29" i="13"/>
  <c r="H29" i="13"/>
  <c r="E42" i="10"/>
  <c r="F42" i="10" s="1"/>
  <c r="H42" i="10" s="1"/>
  <c r="G40" i="9"/>
  <c r="I32" i="28"/>
  <c r="E30" i="44"/>
  <c r="F30" i="44" s="1"/>
  <c r="B30" i="44"/>
  <c r="I29" i="44"/>
  <c r="I36" i="22"/>
  <c r="I37" i="3"/>
  <c r="I34" i="24"/>
  <c r="I37" i="5"/>
  <c r="H29" i="46"/>
  <c r="I29" i="46" s="1"/>
  <c r="I40" i="7"/>
  <c r="I33" i="27"/>
  <c r="F34" i="27"/>
  <c r="G34" i="27" s="1"/>
  <c r="B34" i="27"/>
  <c r="I37" i="4"/>
  <c r="B38" i="3"/>
  <c r="F38" i="3"/>
  <c r="H38" i="3" s="1"/>
  <c r="F30" i="39"/>
  <c r="H30" i="39" s="1"/>
  <c r="B30" i="39"/>
  <c r="F30" i="38"/>
  <c r="H30" i="38" s="1"/>
  <c r="B30" i="38"/>
  <c r="B37" i="25"/>
  <c r="F37" i="25"/>
  <c r="G37" i="25" s="1"/>
  <c r="F28" i="43"/>
  <c r="H28" i="43" s="1"/>
  <c r="B28" i="43"/>
  <c r="I41" i="10"/>
  <c r="F38" i="5"/>
  <c r="H38" i="5" s="1"/>
  <c r="B38" i="5"/>
  <c r="I32" i="31"/>
  <c r="B40" i="11"/>
  <c r="F40" i="11"/>
  <c r="H40" i="11" s="1"/>
  <c r="B36" i="23"/>
  <c r="F36" i="23"/>
  <c r="H36" i="23" s="1"/>
  <c r="D30" i="46"/>
  <c r="E30" i="46" s="1"/>
  <c r="I36" i="25"/>
  <c r="B32" i="30"/>
  <c r="F32" i="30"/>
  <c r="H32" i="30" s="1"/>
  <c r="I29" i="38"/>
  <c r="B42" i="10"/>
  <c r="B35" i="24"/>
  <c r="F35" i="24"/>
  <c r="H35" i="24" s="1"/>
  <c r="F33" i="28"/>
  <c r="H33" i="28" s="1"/>
  <c r="B33" i="28"/>
  <c r="F33" i="31"/>
  <c r="H33" i="31" s="1"/>
  <c r="B33" i="31"/>
  <c r="E41" i="9"/>
  <c r="D41" i="9"/>
  <c r="I38" i="8"/>
  <c r="I38" i="6"/>
  <c r="F30" i="45"/>
  <c r="G30" i="45" s="1"/>
  <c r="B30" i="45"/>
  <c r="B29" i="41"/>
  <c r="F29" i="41"/>
  <c r="F41" i="7"/>
  <c r="H41" i="7" s="1"/>
  <c r="B41" i="7"/>
  <c r="B33" i="29"/>
  <c r="F33" i="29"/>
  <c r="H33" i="29" s="1"/>
  <c r="B37" i="22"/>
  <c r="F37" i="22"/>
  <c r="H37" i="22" s="1"/>
  <c r="F29" i="40"/>
  <c r="H29" i="40" s="1"/>
  <c r="B29" i="40"/>
  <c r="I31" i="30"/>
  <c r="F31" i="37"/>
  <c r="H31" i="37" s="1"/>
  <c r="B31" i="37"/>
  <c r="I35" i="23"/>
  <c r="B38" i="4"/>
  <c r="F38" i="4"/>
  <c r="H38" i="4" s="1"/>
  <c r="F39" i="8"/>
  <c r="G39" i="8" s="1"/>
  <c r="B39" i="8"/>
  <c r="I32" i="29"/>
  <c r="B29" i="42"/>
  <c r="F29" i="42"/>
  <c r="G29" i="42" s="1"/>
  <c r="F39" i="6"/>
  <c r="H39" i="6" s="1"/>
  <c r="B39" i="6"/>
  <c r="B112" i="13"/>
  <c r="F112" i="13"/>
  <c r="I111" i="13"/>
  <c r="H111" i="13"/>
  <c r="F40" i="47" l="1"/>
  <c r="B40" i="47"/>
  <c r="H40" i="47"/>
  <c r="I29" i="13"/>
  <c r="E30" i="13"/>
  <c r="F30" i="13" s="1"/>
  <c r="B30" i="13"/>
  <c r="G33" i="31"/>
  <c r="G32" i="30"/>
  <c r="G33" i="29"/>
  <c r="G33" i="28"/>
  <c r="H34" i="27"/>
  <c r="H37" i="25"/>
  <c r="G35" i="24"/>
  <c r="G36" i="23"/>
  <c r="G37" i="22"/>
  <c r="G40" i="11"/>
  <c r="G42" i="10"/>
  <c r="H39" i="8"/>
  <c r="G41" i="7"/>
  <c r="G39" i="6"/>
  <c r="G38" i="5"/>
  <c r="G38" i="4"/>
  <c r="G38" i="3"/>
  <c r="G30" i="44"/>
  <c r="H30" i="44"/>
  <c r="D31" i="44"/>
  <c r="G29" i="40"/>
  <c r="I29" i="40" s="1"/>
  <c r="E35" i="27"/>
  <c r="D35" i="27"/>
  <c r="D38" i="22"/>
  <c r="E38" i="22"/>
  <c r="D34" i="28"/>
  <c r="E34" i="28"/>
  <c r="E43" i="10"/>
  <c r="D43" i="10"/>
  <c r="D38" i="25"/>
  <c r="E38" i="25"/>
  <c r="D30" i="42"/>
  <c r="E30" i="42"/>
  <c r="D32" i="37"/>
  <c r="E32" i="37"/>
  <c r="D42" i="7"/>
  <c r="B41" i="9"/>
  <c r="F41" i="9"/>
  <c r="H41" i="9" s="1"/>
  <c r="D36" i="24"/>
  <c r="E36" i="24"/>
  <c r="D29" i="43"/>
  <c r="E29" i="43"/>
  <c r="D31" i="38"/>
  <c r="E31" i="38"/>
  <c r="D31" i="39"/>
  <c r="E31" i="39"/>
  <c r="D30" i="41"/>
  <c r="E30" i="41"/>
  <c r="D31" i="45"/>
  <c r="E31" i="45" s="1"/>
  <c r="D37" i="23"/>
  <c r="E37" i="23"/>
  <c r="D39" i="5"/>
  <c r="E39" i="5"/>
  <c r="D40" i="8"/>
  <c r="E40" i="8"/>
  <c r="G31" i="37"/>
  <c r="I31" i="37" s="1"/>
  <c r="D34" i="29"/>
  <c r="E34" i="29"/>
  <c r="H29" i="41"/>
  <c r="I40" i="9"/>
  <c r="D34" i="31"/>
  <c r="E34" i="31"/>
  <c r="D33" i="30"/>
  <c r="E33" i="30"/>
  <c r="F30" i="46"/>
  <c r="H30" i="46" s="1"/>
  <c r="B30" i="46"/>
  <c r="D41" i="11"/>
  <c r="E41" i="11"/>
  <c r="D39" i="3"/>
  <c r="E39" i="3"/>
  <c r="D40" i="6"/>
  <c r="E40" i="6"/>
  <c r="H29" i="42"/>
  <c r="I29" i="42" s="1"/>
  <c r="D39" i="4"/>
  <c r="E39" i="4"/>
  <c r="D30" i="40"/>
  <c r="E30" i="40"/>
  <c r="G29" i="41"/>
  <c r="H30" i="45"/>
  <c r="I30" i="45" s="1"/>
  <c r="G28" i="43"/>
  <c r="I28" i="43" s="1"/>
  <c r="G30" i="38"/>
  <c r="I30" i="38" s="1"/>
  <c r="G30" i="39"/>
  <c r="I30" i="39" s="1"/>
  <c r="J111" i="13"/>
  <c r="G112" i="13"/>
  <c r="D113" i="13"/>
  <c r="E113" i="13" s="1"/>
  <c r="D41" i="47" l="1"/>
  <c r="E41" i="47" s="1"/>
  <c r="G40" i="47"/>
  <c r="I40" i="47" s="1"/>
  <c r="I30" i="44"/>
  <c r="H30" i="13"/>
  <c r="D31" i="13"/>
  <c r="G30" i="13"/>
  <c r="G41" i="9"/>
  <c r="E42" i="7"/>
  <c r="E31" i="44"/>
  <c r="F31" i="44" s="1"/>
  <c r="B31" i="44"/>
  <c r="I41" i="7"/>
  <c r="I38" i="3"/>
  <c r="I35" i="24"/>
  <c r="I40" i="11"/>
  <c r="I38" i="5"/>
  <c r="F35" i="27"/>
  <c r="H35" i="27" s="1"/>
  <c r="B35" i="27"/>
  <c r="I32" i="30"/>
  <c r="I37" i="25"/>
  <c r="I33" i="28"/>
  <c r="I37" i="22"/>
  <c r="I34" i="27"/>
  <c r="I39" i="6"/>
  <c r="D31" i="46"/>
  <c r="F34" i="31"/>
  <c r="H34" i="31" s="1"/>
  <c r="B34" i="31"/>
  <c r="B39" i="5"/>
  <c r="F39" i="5"/>
  <c r="H39" i="5" s="1"/>
  <c r="B30" i="41"/>
  <c r="F30" i="41"/>
  <c r="G30" i="41" s="1"/>
  <c r="B31" i="38"/>
  <c r="F31" i="38"/>
  <c r="G31" i="38" s="1"/>
  <c r="B30" i="42"/>
  <c r="F30" i="42"/>
  <c r="H30" i="42" s="1"/>
  <c r="B34" i="28"/>
  <c r="F34" i="28"/>
  <c r="H34" i="28" s="1"/>
  <c r="F30" i="40"/>
  <c r="B30" i="40"/>
  <c r="F41" i="11"/>
  <c r="H41" i="11" s="1"/>
  <c r="B41" i="11"/>
  <c r="F40" i="8"/>
  <c r="H40" i="8" s="1"/>
  <c r="B40" i="8"/>
  <c r="B42" i="7"/>
  <c r="F42" i="7"/>
  <c r="G42" i="7" s="1"/>
  <c r="F39" i="4"/>
  <c r="H39" i="4" s="1"/>
  <c r="B39" i="4"/>
  <c r="G30" i="46"/>
  <c r="I30" i="46" s="1"/>
  <c r="F34" i="29"/>
  <c r="H34" i="29" s="1"/>
  <c r="B34" i="29"/>
  <c r="I39" i="8"/>
  <c r="B36" i="24"/>
  <c r="F36" i="24"/>
  <c r="H36" i="24" s="1"/>
  <c r="F38" i="25"/>
  <c r="G38" i="25" s="1"/>
  <c r="B38" i="25"/>
  <c r="B38" i="22"/>
  <c r="F38" i="22"/>
  <c r="H38" i="22" s="1"/>
  <c r="F37" i="23"/>
  <c r="G37" i="23" s="1"/>
  <c r="B37" i="23"/>
  <c r="D42" i="9"/>
  <c r="B43" i="10"/>
  <c r="F43" i="10"/>
  <c r="H43" i="10" s="1"/>
  <c r="I38" i="4"/>
  <c r="B40" i="6"/>
  <c r="F40" i="6"/>
  <c r="H40" i="6" s="1"/>
  <c r="F39" i="3"/>
  <c r="H39" i="3" s="1"/>
  <c r="B39" i="3"/>
  <c r="F33" i="30"/>
  <c r="H33" i="30" s="1"/>
  <c r="B33" i="30"/>
  <c r="I33" i="31"/>
  <c r="I29" i="41"/>
  <c r="I33" i="29"/>
  <c r="I36" i="23"/>
  <c r="F31" i="45"/>
  <c r="H31" i="45" s="1"/>
  <c r="B31" i="45"/>
  <c r="B31" i="39"/>
  <c r="F31" i="39"/>
  <c r="G31" i="39" s="1"/>
  <c r="F29" i="43"/>
  <c r="H29" i="43" s="1"/>
  <c r="B29" i="43"/>
  <c r="F32" i="37"/>
  <c r="B32" i="37"/>
  <c r="I42" i="10"/>
  <c r="I112" i="13"/>
  <c r="H112" i="13"/>
  <c r="B113" i="13"/>
  <c r="F113" i="13"/>
  <c r="I30" i="13" l="1"/>
  <c r="F41" i="47"/>
  <c r="B41" i="47"/>
  <c r="E31" i="13"/>
  <c r="F31" i="13" s="1"/>
  <c r="B31" i="13"/>
  <c r="G34" i="31"/>
  <c r="G33" i="30"/>
  <c r="G34" i="29"/>
  <c r="G34" i="28"/>
  <c r="G35" i="27"/>
  <c r="H38" i="25"/>
  <c r="I38" i="25" s="1"/>
  <c r="G36" i="24"/>
  <c r="H37" i="23"/>
  <c r="G38" i="22"/>
  <c r="G41" i="11"/>
  <c r="G43" i="10"/>
  <c r="E42" i="9"/>
  <c r="G40" i="8"/>
  <c r="H42" i="7"/>
  <c r="G40" i="6"/>
  <c r="G39" i="5"/>
  <c r="G39" i="4"/>
  <c r="G39" i="3"/>
  <c r="D32" i="44"/>
  <c r="H31" i="44"/>
  <c r="G31" i="44"/>
  <c r="H31" i="38"/>
  <c r="I31" i="38" s="1"/>
  <c r="G31" i="45"/>
  <c r="I31" i="45" s="1"/>
  <c r="D36" i="27"/>
  <c r="D33" i="37"/>
  <c r="E33" i="37"/>
  <c r="D40" i="3"/>
  <c r="E40" i="3"/>
  <c r="D31" i="40"/>
  <c r="E31" i="40"/>
  <c r="G29" i="43"/>
  <c r="I29" i="43" s="1"/>
  <c r="D32" i="39"/>
  <c r="E32" i="39"/>
  <c r="D41" i="6"/>
  <c r="D39" i="25"/>
  <c r="E39" i="25"/>
  <c r="G30" i="40"/>
  <c r="G30" i="42"/>
  <c r="I30" i="42" s="1"/>
  <c r="D35" i="31"/>
  <c r="E35" i="31"/>
  <c r="D44" i="10"/>
  <c r="E44" i="10"/>
  <c r="H32" i="37"/>
  <c r="H31" i="39"/>
  <c r="I31" i="39" s="1"/>
  <c r="D34" i="30"/>
  <c r="E34" i="30"/>
  <c r="I41" i="9"/>
  <c r="D39" i="22"/>
  <c r="E39" i="22"/>
  <c r="D37" i="24"/>
  <c r="E37" i="24"/>
  <c r="D40" i="4"/>
  <c r="D41" i="8"/>
  <c r="D35" i="28"/>
  <c r="E35" i="28"/>
  <c r="D31" i="41"/>
  <c r="E31" i="41"/>
  <c r="D40" i="5"/>
  <c r="E40" i="5"/>
  <c r="B31" i="46"/>
  <c r="D30" i="43"/>
  <c r="E30" i="43"/>
  <c r="D38" i="23"/>
  <c r="E38" i="23"/>
  <c r="D42" i="11"/>
  <c r="D31" i="42"/>
  <c r="E31" i="42"/>
  <c r="G32" i="37"/>
  <c r="D32" i="45"/>
  <c r="B42" i="9"/>
  <c r="F42" i="9"/>
  <c r="G42" i="9" s="1"/>
  <c r="D35" i="29"/>
  <c r="E35" i="29"/>
  <c r="D43" i="7"/>
  <c r="E43" i="7"/>
  <c r="H30" i="40"/>
  <c r="D32" i="38"/>
  <c r="E32" i="38"/>
  <c r="H30" i="41"/>
  <c r="I30" i="41" s="1"/>
  <c r="E31" i="46"/>
  <c r="F31" i="46" s="1"/>
  <c r="J112" i="13"/>
  <c r="G113" i="13"/>
  <c r="D114" i="13"/>
  <c r="D42" i="47" l="1"/>
  <c r="E42" i="47"/>
  <c r="G41" i="47"/>
  <c r="H41" i="47"/>
  <c r="H31" i="13"/>
  <c r="G31" i="13"/>
  <c r="D32" i="13"/>
  <c r="E42" i="11"/>
  <c r="F42" i="11" s="1"/>
  <c r="H42" i="11" s="1"/>
  <c r="H42" i="9"/>
  <c r="E41" i="8"/>
  <c r="E41" i="6"/>
  <c r="E40" i="4"/>
  <c r="F40" i="4" s="1"/>
  <c r="H40" i="4" s="1"/>
  <c r="I36" i="24"/>
  <c r="I38" i="22"/>
  <c r="I40" i="8"/>
  <c r="I39" i="3"/>
  <c r="I34" i="29"/>
  <c r="I33" i="30"/>
  <c r="I31" i="44"/>
  <c r="I34" i="31"/>
  <c r="E32" i="44"/>
  <c r="F32" i="44" s="1"/>
  <c r="B32" i="44"/>
  <c r="I30" i="40"/>
  <c r="I39" i="5"/>
  <c r="I40" i="6"/>
  <c r="I41" i="11"/>
  <c r="I43" i="10"/>
  <c r="I42" i="7"/>
  <c r="I32" i="37"/>
  <c r="B36" i="27"/>
  <c r="I35" i="27"/>
  <c r="E36" i="27"/>
  <c r="F36" i="27" s="1"/>
  <c r="H36" i="27" s="1"/>
  <c r="D32" i="46"/>
  <c r="E32" i="46" s="1"/>
  <c r="H31" i="46"/>
  <c r="G31" i="46"/>
  <c r="F41" i="6"/>
  <c r="H41" i="6" s="1"/>
  <c r="B41" i="6"/>
  <c r="B32" i="38"/>
  <c r="F32" i="38"/>
  <c r="H32" i="38" s="1"/>
  <c r="B35" i="29"/>
  <c r="F35" i="29"/>
  <c r="H35" i="29" s="1"/>
  <c r="B32" i="45"/>
  <c r="B38" i="23"/>
  <c r="F38" i="23"/>
  <c r="H38" i="23" s="1"/>
  <c r="I34" i="28"/>
  <c r="I39" i="4"/>
  <c r="B34" i="30"/>
  <c r="F34" i="30"/>
  <c r="H34" i="30" s="1"/>
  <c r="B44" i="10"/>
  <c r="F44" i="10"/>
  <c r="H44" i="10" s="1"/>
  <c r="F33" i="37"/>
  <c r="G33" i="37" s="1"/>
  <c r="B33" i="37"/>
  <c r="B30" i="43"/>
  <c r="F30" i="43"/>
  <c r="H30" i="43" s="1"/>
  <c r="F31" i="41"/>
  <c r="B31" i="41"/>
  <c r="B37" i="24"/>
  <c r="F37" i="24"/>
  <c r="G37" i="24" s="1"/>
  <c r="B32" i="39"/>
  <c r="F32" i="39"/>
  <c r="G32" i="39" s="1"/>
  <c r="B43" i="7"/>
  <c r="F43" i="7"/>
  <c r="G43" i="7" s="1"/>
  <c r="E32" i="45"/>
  <c r="F32" i="45" s="1"/>
  <c r="F31" i="42"/>
  <c r="H31" i="42" s="1"/>
  <c r="B31" i="42"/>
  <c r="I37" i="23"/>
  <c r="B40" i="5"/>
  <c r="F40" i="5"/>
  <c r="H40" i="5" s="1"/>
  <c r="B42" i="11"/>
  <c r="F41" i="8"/>
  <c r="H41" i="8" s="1"/>
  <c r="B41" i="8"/>
  <c r="D43" i="9"/>
  <c r="B35" i="28"/>
  <c r="F35" i="28"/>
  <c r="H35" i="28" s="1"/>
  <c r="B40" i="4"/>
  <c r="B39" i="22"/>
  <c r="F39" i="22"/>
  <c r="H39" i="22" s="1"/>
  <c r="B35" i="31"/>
  <c r="F35" i="31"/>
  <c r="G35" i="31" s="1"/>
  <c r="F39" i="25"/>
  <c r="G39" i="25" s="1"/>
  <c r="B39" i="25"/>
  <c r="F31" i="40"/>
  <c r="B31" i="40"/>
  <c r="B40" i="3"/>
  <c r="F40" i="3"/>
  <c r="H40" i="3" s="1"/>
  <c r="B114" i="13"/>
  <c r="H113" i="13"/>
  <c r="I113" i="13"/>
  <c r="E114" i="13"/>
  <c r="F114" i="13" s="1"/>
  <c r="I41" i="47" l="1"/>
  <c r="B42" i="47"/>
  <c r="F42" i="47"/>
  <c r="I31" i="13"/>
  <c r="G41" i="8"/>
  <c r="E32" i="13"/>
  <c r="F32" i="13" s="1"/>
  <c r="B32" i="13"/>
  <c r="H35" i="31"/>
  <c r="G34" i="30"/>
  <c r="G35" i="29"/>
  <c r="G35" i="28"/>
  <c r="G36" i="27"/>
  <c r="H39" i="25"/>
  <c r="H37" i="24"/>
  <c r="G38" i="23"/>
  <c r="G39" i="22"/>
  <c r="G42" i="11"/>
  <c r="G44" i="10"/>
  <c r="E43" i="9"/>
  <c r="F43" i="9" s="1"/>
  <c r="H43" i="9" s="1"/>
  <c r="H43" i="7"/>
  <c r="G41" i="6"/>
  <c r="G40" i="5"/>
  <c r="G40" i="4"/>
  <c r="G40" i="3"/>
  <c r="G32" i="44"/>
  <c r="D33" i="44"/>
  <c r="H32" i="44"/>
  <c r="G32" i="38"/>
  <c r="I32" i="38" s="1"/>
  <c r="D37" i="27"/>
  <c r="G31" i="42"/>
  <c r="I31" i="42" s="1"/>
  <c r="D33" i="45"/>
  <c r="G32" i="45"/>
  <c r="H32" i="45"/>
  <c r="D32" i="41"/>
  <c r="E32" i="41"/>
  <c r="D32" i="40"/>
  <c r="E32" i="40"/>
  <c r="D41" i="4"/>
  <c r="E41" i="4"/>
  <c r="I42" i="9"/>
  <c r="D42" i="8"/>
  <c r="D41" i="5"/>
  <c r="D44" i="7"/>
  <c r="E44" i="7"/>
  <c r="D33" i="39"/>
  <c r="E33" i="39"/>
  <c r="G31" i="41"/>
  <c r="D34" i="37"/>
  <c r="E34" i="37"/>
  <c r="I31" i="46"/>
  <c r="H31" i="40"/>
  <c r="D40" i="22"/>
  <c r="D36" i="28"/>
  <c r="E36" i="28"/>
  <c r="B43" i="9"/>
  <c r="D43" i="11"/>
  <c r="H31" i="41"/>
  <c r="D45" i="10"/>
  <c r="E45" i="10"/>
  <c r="D35" i="30"/>
  <c r="E35" i="30"/>
  <c r="D39" i="23"/>
  <c r="D41" i="3"/>
  <c r="D36" i="31"/>
  <c r="E36" i="31"/>
  <c r="D38" i="24"/>
  <c r="E38" i="24"/>
  <c r="D31" i="43"/>
  <c r="E31" i="43"/>
  <c r="D36" i="29"/>
  <c r="E36" i="29"/>
  <c r="G31" i="40"/>
  <c r="D40" i="25"/>
  <c r="D32" i="42"/>
  <c r="E32" i="42"/>
  <c r="H32" i="39"/>
  <c r="I32" i="39" s="1"/>
  <c r="G30" i="43"/>
  <c r="I30" i="43" s="1"/>
  <c r="H33" i="37"/>
  <c r="I33" i="37" s="1"/>
  <c r="D33" i="38"/>
  <c r="E33" i="38"/>
  <c r="D42" i="6"/>
  <c r="F32" i="46"/>
  <c r="G32" i="46" s="1"/>
  <c r="B32" i="46"/>
  <c r="J113" i="13"/>
  <c r="G114" i="13"/>
  <c r="D115" i="13"/>
  <c r="E115" i="13" s="1"/>
  <c r="D43" i="47" l="1"/>
  <c r="E43" i="47" s="1"/>
  <c r="G42" i="47"/>
  <c r="H42" i="47"/>
  <c r="I32" i="44"/>
  <c r="H32" i="13"/>
  <c r="D33" i="13"/>
  <c r="G32" i="13"/>
  <c r="I32" i="13" s="1"/>
  <c r="E40" i="25"/>
  <c r="F40" i="25" s="1"/>
  <c r="H40" i="25" s="1"/>
  <c r="E39" i="23"/>
  <c r="F39" i="23" s="1"/>
  <c r="G39" i="23" s="1"/>
  <c r="E40" i="22"/>
  <c r="F40" i="22" s="1"/>
  <c r="H40" i="22" s="1"/>
  <c r="E43" i="11"/>
  <c r="F43" i="11" s="1"/>
  <c r="G43" i="11" s="1"/>
  <c r="G43" i="9"/>
  <c r="E42" i="8"/>
  <c r="E42" i="6"/>
  <c r="F42" i="6" s="1"/>
  <c r="H42" i="6" s="1"/>
  <c r="E41" i="5"/>
  <c r="F41" i="5" s="1"/>
  <c r="H41" i="5" s="1"/>
  <c r="E41" i="3"/>
  <c r="E33" i="44"/>
  <c r="F33" i="44" s="1"/>
  <c r="B33" i="44"/>
  <c r="I32" i="45"/>
  <c r="I41" i="6"/>
  <c r="I43" i="7"/>
  <c r="I39" i="25"/>
  <c r="I39" i="22"/>
  <c r="I37" i="24"/>
  <c r="H32" i="46"/>
  <c r="I32" i="46" s="1"/>
  <c r="I44" i="10"/>
  <c r="I31" i="41"/>
  <c r="I40" i="5"/>
  <c r="I41" i="8"/>
  <c r="B37" i="27"/>
  <c r="E37" i="27"/>
  <c r="F37" i="27" s="1"/>
  <c r="H37" i="27" s="1"/>
  <c r="I36" i="27"/>
  <c r="F31" i="43"/>
  <c r="B31" i="43"/>
  <c r="B35" i="30"/>
  <c r="F35" i="30"/>
  <c r="H35" i="30" s="1"/>
  <c r="F32" i="42"/>
  <c r="G32" i="42" s="1"/>
  <c r="B32" i="42"/>
  <c r="B40" i="25"/>
  <c r="B43" i="11"/>
  <c r="B36" i="28"/>
  <c r="F36" i="28"/>
  <c r="G36" i="28" s="1"/>
  <c r="B34" i="37"/>
  <c r="F34" i="37"/>
  <c r="G34" i="37" s="1"/>
  <c r="I40" i="4"/>
  <c r="F33" i="38"/>
  <c r="H33" i="38" s="1"/>
  <c r="B33" i="38"/>
  <c r="B36" i="29"/>
  <c r="F36" i="29"/>
  <c r="H36" i="29" s="1"/>
  <c r="F41" i="3"/>
  <c r="H41" i="3" s="1"/>
  <c r="B41" i="3"/>
  <c r="F45" i="10"/>
  <c r="G45" i="10" s="1"/>
  <c r="B45" i="10"/>
  <c r="D44" i="9"/>
  <c r="B33" i="39"/>
  <c r="F33" i="39"/>
  <c r="G33" i="39" s="1"/>
  <c r="F42" i="8"/>
  <c r="H42" i="8" s="1"/>
  <c r="B42" i="8"/>
  <c r="D33" i="46"/>
  <c r="I35" i="29"/>
  <c r="I35" i="31"/>
  <c r="I40" i="3"/>
  <c r="I38" i="23"/>
  <c r="I34" i="30"/>
  <c r="I42" i="11"/>
  <c r="I31" i="40"/>
  <c r="F44" i="7"/>
  <c r="H44" i="7" s="1"/>
  <c r="B44" i="7"/>
  <c r="F41" i="4"/>
  <c r="G41" i="4" s="1"/>
  <c r="B41" i="4"/>
  <c r="B32" i="41"/>
  <c r="F32" i="41"/>
  <c r="H32" i="41" s="1"/>
  <c r="B33" i="45"/>
  <c r="B42" i="6"/>
  <c r="B36" i="31"/>
  <c r="F36" i="31"/>
  <c r="G36" i="31" s="1"/>
  <c r="B39" i="23"/>
  <c r="B40" i="22"/>
  <c r="B32" i="40"/>
  <c r="F32" i="40"/>
  <c r="F38" i="24"/>
  <c r="H38" i="24" s="1"/>
  <c r="B38" i="24"/>
  <c r="I35" i="28"/>
  <c r="B41" i="5"/>
  <c r="E33" i="45"/>
  <c r="F33" i="45" s="1"/>
  <c r="B115" i="13"/>
  <c r="F115" i="13"/>
  <c r="H114" i="13"/>
  <c r="I114" i="13"/>
  <c r="I42" i="47" l="1"/>
  <c r="F43" i="47"/>
  <c r="B43" i="47"/>
  <c r="H43" i="47"/>
  <c r="E33" i="13"/>
  <c r="B33" i="13"/>
  <c r="F33" i="13"/>
  <c r="H36" i="31"/>
  <c r="G35" i="30"/>
  <c r="G36" i="29"/>
  <c r="H36" i="28"/>
  <c r="G37" i="27"/>
  <c r="G40" i="25"/>
  <c r="G38" i="24"/>
  <c r="H39" i="23"/>
  <c r="G40" i="22"/>
  <c r="H43" i="11"/>
  <c r="H45" i="10"/>
  <c r="E44" i="9"/>
  <c r="G42" i="8"/>
  <c r="G44" i="7"/>
  <c r="G42" i="6"/>
  <c r="G41" i="5"/>
  <c r="H41" i="4"/>
  <c r="G41" i="3"/>
  <c r="G33" i="38"/>
  <c r="I33" i="38" s="1"/>
  <c r="D34" i="44"/>
  <c r="G33" i="44"/>
  <c r="H33" i="44"/>
  <c r="D38" i="27"/>
  <c r="E38" i="27"/>
  <c r="D34" i="45"/>
  <c r="E34" i="45" s="1"/>
  <c r="H33" i="45"/>
  <c r="G33" i="45"/>
  <c r="D33" i="40"/>
  <c r="E33" i="40"/>
  <c r="D37" i="31"/>
  <c r="D37" i="28"/>
  <c r="E37" i="28"/>
  <c r="G32" i="40"/>
  <c r="D33" i="41"/>
  <c r="E33" i="41"/>
  <c r="D42" i="4"/>
  <c r="B33" i="46"/>
  <c r="D34" i="39"/>
  <c r="E34" i="39"/>
  <c r="I43" i="9"/>
  <c r="D37" i="29"/>
  <c r="H34" i="37"/>
  <c r="I34" i="37" s="1"/>
  <c r="D41" i="25"/>
  <c r="D33" i="42"/>
  <c r="E33" i="42"/>
  <c r="D32" i="43"/>
  <c r="E32" i="43"/>
  <c r="D41" i="22"/>
  <c r="D43" i="8"/>
  <c r="D39" i="24"/>
  <c r="G32" i="41"/>
  <c r="I32" i="41" s="1"/>
  <c r="E33" i="46"/>
  <c r="F33" i="46" s="1"/>
  <c r="D46" i="10"/>
  <c r="E46" i="10"/>
  <c r="D34" i="38"/>
  <c r="E34" i="38"/>
  <c r="D44" i="11"/>
  <c r="D36" i="30"/>
  <c r="H31" i="43"/>
  <c r="D42" i="3"/>
  <c r="E42" i="3"/>
  <c r="D35" i="37"/>
  <c r="E35" i="37" s="1"/>
  <c r="D42" i="5"/>
  <c r="E42" i="5"/>
  <c r="H32" i="40"/>
  <c r="D40" i="23"/>
  <c r="D43" i="6"/>
  <c r="E43" i="6"/>
  <c r="D45" i="7"/>
  <c r="E45" i="7"/>
  <c r="H33" i="39"/>
  <c r="I33" i="39" s="1"/>
  <c r="B44" i="9"/>
  <c r="F44" i="9"/>
  <c r="H44" i="9" s="1"/>
  <c r="H32" i="42"/>
  <c r="I32" i="42" s="1"/>
  <c r="G31" i="43"/>
  <c r="D116" i="13"/>
  <c r="G115" i="13"/>
  <c r="J114" i="13"/>
  <c r="D44" i="47" l="1"/>
  <c r="E44" i="47" s="1"/>
  <c r="G43" i="47"/>
  <c r="I43" i="47" s="1"/>
  <c r="G33" i="13"/>
  <c r="H33" i="13"/>
  <c r="D34" i="13"/>
  <c r="E37" i="31"/>
  <c r="F37" i="31" s="1"/>
  <c r="H37" i="31" s="1"/>
  <c r="E36" i="30"/>
  <c r="F36" i="30" s="1"/>
  <c r="H36" i="30" s="1"/>
  <c r="E37" i="29"/>
  <c r="F37" i="29" s="1"/>
  <c r="H37" i="29" s="1"/>
  <c r="E41" i="25"/>
  <c r="F41" i="25" s="1"/>
  <c r="G41" i="25" s="1"/>
  <c r="E39" i="24"/>
  <c r="F39" i="24" s="1"/>
  <c r="G39" i="24" s="1"/>
  <c r="E40" i="23"/>
  <c r="E41" i="22"/>
  <c r="F41" i="22" s="1"/>
  <c r="E44" i="11"/>
  <c r="F44" i="11" s="1"/>
  <c r="H44" i="11" s="1"/>
  <c r="G44" i="9"/>
  <c r="E43" i="8"/>
  <c r="E42" i="4"/>
  <c r="F42" i="4" s="1"/>
  <c r="G42" i="4" s="1"/>
  <c r="I33" i="44"/>
  <c r="E34" i="44"/>
  <c r="F34" i="44" s="1"/>
  <c r="B34" i="44"/>
  <c r="I36" i="29"/>
  <c r="I32" i="40"/>
  <c r="I37" i="27"/>
  <c r="I36" i="28"/>
  <c r="I41" i="3"/>
  <c r="I31" i="43"/>
  <c r="F38" i="27"/>
  <c r="H38" i="27" s="1"/>
  <c r="B38" i="27"/>
  <c r="D34" i="46"/>
  <c r="E34" i="46" s="1"/>
  <c r="H33" i="46"/>
  <c r="G33" i="46"/>
  <c r="I41" i="5"/>
  <c r="B44" i="11"/>
  <c r="B39" i="24"/>
  <c r="F43" i="8"/>
  <c r="H43" i="8" s="1"/>
  <c r="B43" i="8"/>
  <c r="B41" i="22"/>
  <c r="B33" i="42"/>
  <c r="F33" i="42"/>
  <c r="G33" i="42" s="1"/>
  <c r="B41" i="25"/>
  <c r="B37" i="29"/>
  <c r="F34" i="39"/>
  <c r="G34" i="39" s="1"/>
  <c r="B34" i="39"/>
  <c r="I41" i="4"/>
  <c r="B37" i="31"/>
  <c r="I33" i="45"/>
  <c r="F40" i="23"/>
  <c r="H40" i="23" s="1"/>
  <c r="B40" i="23"/>
  <c r="B36" i="30"/>
  <c r="D45" i="9"/>
  <c r="E45" i="9"/>
  <c r="F45" i="7"/>
  <c r="H45" i="7" s="1"/>
  <c r="B45" i="7"/>
  <c r="I42" i="6"/>
  <c r="I39" i="23"/>
  <c r="I45" i="10"/>
  <c r="B37" i="28"/>
  <c r="F37" i="28"/>
  <c r="H37" i="28" s="1"/>
  <c r="B35" i="37"/>
  <c r="F35" i="37"/>
  <c r="H35" i="37" s="1"/>
  <c r="I44" i="7"/>
  <c r="F43" i="6"/>
  <c r="H43" i="6" s="1"/>
  <c r="B43" i="6"/>
  <c r="F42" i="5"/>
  <c r="H42" i="5" s="1"/>
  <c r="B42" i="5"/>
  <c r="B42" i="3"/>
  <c r="F42" i="3"/>
  <c r="H42" i="3" s="1"/>
  <c r="I35" i="30"/>
  <c r="I43" i="11"/>
  <c r="F34" i="38"/>
  <c r="G34" i="38" s="1"/>
  <c r="B34" i="38"/>
  <c r="B46" i="10"/>
  <c r="F46" i="10"/>
  <c r="H46" i="10" s="1"/>
  <c r="I38" i="24"/>
  <c r="I42" i="8"/>
  <c r="I40" i="22"/>
  <c r="B32" i="43"/>
  <c r="F32" i="43"/>
  <c r="G32" i="43" s="1"/>
  <c r="I40" i="25"/>
  <c r="B42" i="4"/>
  <c r="B33" i="41"/>
  <c r="F33" i="41"/>
  <c r="G33" i="41" s="1"/>
  <c r="I36" i="31"/>
  <c r="F33" i="40"/>
  <c r="B33" i="40"/>
  <c r="F34" i="45"/>
  <c r="G34" i="45" s="1"/>
  <c r="B34" i="45"/>
  <c r="H115" i="13"/>
  <c r="I115" i="13"/>
  <c r="B116" i="13"/>
  <c r="E116" i="13"/>
  <c r="F116" i="13" s="1"/>
  <c r="I33" i="13" l="1"/>
  <c r="F44" i="47"/>
  <c r="B44" i="47"/>
  <c r="E34" i="13"/>
  <c r="F34" i="13" s="1"/>
  <c r="B34" i="13"/>
  <c r="G37" i="31"/>
  <c r="G36" i="30"/>
  <c r="G37" i="29"/>
  <c r="G37" i="28"/>
  <c r="G38" i="27"/>
  <c r="H41" i="25"/>
  <c r="H39" i="24"/>
  <c r="G40" i="23"/>
  <c r="H41" i="22"/>
  <c r="G41" i="22"/>
  <c r="G44" i="11"/>
  <c r="G46" i="10"/>
  <c r="G43" i="8"/>
  <c r="G45" i="7"/>
  <c r="G43" i="6"/>
  <c r="G42" i="5"/>
  <c r="H42" i="4"/>
  <c r="G42" i="3"/>
  <c r="G34" i="44"/>
  <c r="D35" i="44"/>
  <c r="H34" i="44"/>
  <c r="H33" i="41"/>
  <c r="I33" i="41" s="1"/>
  <c r="H34" i="38"/>
  <c r="I34" i="38" s="1"/>
  <c r="D39" i="27"/>
  <c r="I44" i="9"/>
  <c r="H33" i="42"/>
  <c r="I33" i="42" s="1"/>
  <c r="D34" i="40"/>
  <c r="E34" i="40"/>
  <c r="D43" i="5"/>
  <c r="D36" i="37"/>
  <c r="E36" i="37" s="1"/>
  <c r="D38" i="28"/>
  <c r="E38" i="28"/>
  <c r="D46" i="7"/>
  <c r="E46" i="7"/>
  <c r="B45" i="9"/>
  <c r="F45" i="9"/>
  <c r="H45" i="9" s="1"/>
  <c r="D41" i="23"/>
  <c r="E41" i="23"/>
  <c r="H34" i="39"/>
  <c r="I34" i="39" s="1"/>
  <c r="I33" i="46"/>
  <c r="D38" i="29"/>
  <c r="E38" i="29"/>
  <c r="D42" i="22"/>
  <c r="E42" i="22"/>
  <c r="D35" i="45"/>
  <c r="E35" i="45" s="1"/>
  <c r="D43" i="4"/>
  <c r="E43" i="4"/>
  <c r="H34" i="45"/>
  <c r="I34" i="45" s="1"/>
  <c r="H33" i="40"/>
  <c r="D34" i="41"/>
  <c r="E34" i="41"/>
  <c r="D47" i="10"/>
  <c r="D35" i="38"/>
  <c r="E35" i="38" s="1"/>
  <c r="D43" i="3"/>
  <c r="G35" i="37"/>
  <c r="I35" i="37" s="1"/>
  <c r="D42" i="25"/>
  <c r="D44" i="8"/>
  <c r="E44" i="8"/>
  <c r="D45" i="11"/>
  <c r="E45" i="11"/>
  <c r="D33" i="43"/>
  <c r="E33" i="43"/>
  <c r="D35" i="39"/>
  <c r="E35" i="39"/>
  <c r="D40" i="24"/>
  <c r="E40" i="24"/>
  <c r="G33" i="40"/>
  <c r="H32" i="43"/>
  <c r="I32" i="43" s="1"/>
  <c r="D44" i="6"/>
  <c r="D37" i="30"/>
  <c r="D38" i="31"/>
  <c r="D34" i="42"/>
  <c r="E34" i="42" s="1"/>
  <c r="B34" i="46"/>
  <c r="F34" i="46"/>
  <c r="G34" i="46" s="1"/>
  <c r="J115" i="13"/>
  <c r="G116" i="13"/>
  <c r="D117" i="13"/>
  <c r="E117" i="13" s="1"/>
  <c r="D45" i="47" l="1"/>
  <c r="E45" i="47" s="1"/>
  <c r="G44" i="47"/>
  <c r="H44" i="47"/>
  <c r="I44" i="47" s="1"/>
  <c r="G34" i="13"/>
  <c r="H34" i="13"/>
  <c r="D35" i="13"/>
  <c r="I34" i="44"/>
  <c r="E38" i="31"/>
  <c r="F38" i="31" s="1"/>
  <c r="G38" i="31" s="1"/>
  <c r="E37" i="30"/>
  <c r="E42" i="25"/>
  <c r="E47" i="10"/>
  <c r="F47" i="10" s="1"/>
  <c r="G47" i="10" s="1"/>
  <c r="G45" i="9"/>
  <c r="E44" i="6"/>
  <c r="E43" i="5"/>
  <c r="F43" i="5" s="1"/>
  <c r="G43" i="5" s="1"/>
  <c r="E43" i="3"/>
  <c r="F43" i="3" s="1"/>
  <c r="H43" i="3" s="1"/>
  <c r="I41" i="22"/>
  <c r="E35" i="44"/>
  <c r="F35" i="44" s="1"/>
  <c r="H35" i="44" s="1"/>
  <c r="B35" i="44"/>
  <c r="I41" i="25"/>
  <c r="I45" i="7"/>
  <c r="I38" i="27"/>
  <c r="I40" i="23"/>
  <c r="B39" i="27"/>
  <c r="I44" i="11"/>
  <c r="I43" i="8"/>
  <c r="E39" i="27"/>
  <c r="F39" i="27" s="1"/>
  <c r="H39" i="27" s="1"/>
  <c r="F44" i="6"/>
  <c r="H44" i="6" s="1"/>
  <c r="B44" i="6"/>
  <c r="B35" i="38"/>
  <c r="F35" i="38"/>
  <c r="H35" i="38" s="1"/>
  <c r="B46" i="7"/>
  <c r="F46" i="7"/>
  <c r="H46" i="7" s="1"/>
  <c r="B34" i="40"/>
  <c r="F34" i="40"/>
  <c r="F34" i="42"/>
  <c r="G34" i="42" s="1"/>
  <c r="B34" i="42"/>
  <c r="B38" i="31"/>
  <c r="F37" i="30"/>
  <c r="H37" i="30" s="1"/>
  <c r="B37" i="30"/>
  <c r="B33" i="43"/>
  <c r="F33" i="43"/>
  <c r="H33" i="43" s="1"/>
  <c r="F42" i="25"/>
  <c r="H42" i="25" s="1"/>
  <c r="B42" i="25"/>
  <c r="I42" i="3"/>
  <c r="B47" i="10"/>
  <c r="B38" i="29"/>
  <c r="F38" i="29"/>
  <c r="H38" i="29" s="1"/>
  <c r="F36" i="37"/>
  <c r="H36" i="37" s="1"/>
  <c r="B36" i="37"/>
  <c r="B43" i="5"/>
  <c r="D35" i="46"/>
  <c r="E35" i="46" s="1"/>
  <c r="B43" i="4"/>
  <c r="F43" i="4"/>
  <c r="H43" i="4" s="1"/>
  <c r="H34" i="46"/>
  <c r="I34" i="46" s="1"/>
  <c r="I43" i="6"/>
  <c r="B43" i="3"/>
  <c r="I46" i="10"/>
  <c r="B34" i="41"/>
  <c r="F34" i="41"/>
  <c r="B35" i="45"/>
  <c r="F35" i="45"/>
  <c r="G35" i="45" s="1"/>
  <c r="I37" i="29"/>
  <c r="I37" i="28"/>
  <c r="I42" i="5"/>
  <c r="F40" i="24"/>
  <c r="H40" i="24" s="1"/>
  <c r="B40" i="24"/>
  <c r="F42" i="22"/>
  <c r="H42" i="22" s="1"/>
  <c r="B42" i="22"/>
  <c r="B41" i="23"/>
  <c r="F41" i="23"/>
  <c r="H41" i="23" s="1"/>
  <c r="I37" i="31"/>
  <c r="I36" i="30"/>
  <c r="I39" i="24"/>
  <c r="F35" i="39"/>
  <c r="B35" i="39"/>
  <c r="B45" i="11"/>
  <c r="F45" i="11"/>
  <c r="H45" i="11" s="1"/>
  <c r="F44" i="8"/>
  <c r="H44" i="8" s="1"/>
  <c r="B44" i="8"/>
  <c r="I33" i="40"/>
  <c r="I42" i="4"/>
  <c r="D46" i="9"/>
  <c r="B38" i="28"/>
  <c r="F38" i="28"/>
  <c r="G38" i="28" s="1"/>
  <c r="I116" i="13"/>
  <c r="H116" i="13"/>
  <c r="B117" i="13"/>
  <c r="F117" i="13"/>
  <c r="F45" i="47" l="1"/>
  <c r="B45" i="47"/>
  <c r="I34" i="13"/>
  <c r="H43" i="5"/>
  <c r="B35" i="13"/>
  <c r="E35" i="13"/>
  <c r="F35" i="13" s="1"/>
  <c r="H35" i="13" s="1"/>
  <c r="H38" i="31"/>
  <c r="G37" i="30"/>
  <c r="G38" i="29"/>
  <c r="H38" i="28"/>
  <c r="G39" i="27"/>
  <c r="G42" i="25"/>
  <c r="G40" i="24"/>
  <c r="G41" i="23"/>
  <c r="G42" i="22"/>
  <c r="G45" i="11"/>
  <c r="H47" i="10"/>
  <c r="E46" i="9"/>
  <c r="F46" i="9" s="1"/>
  <c r="H46" i="9" s="1"/>
  <c r="G44" i="8"/>
  <c r="G46" i="7"/>
  <c r="G44" i="6"/>
  <c r="G43" i="4"/>
  <c r="G43" i="3"/>
  <c r="G35" i="44"/>
  <c r="I35" i="44" s="1"/>
  <c r="D36" i="44"/>
  <c r="G36" i="37"/>
  <c r="I36" i="37" s="1"/>
  <c r="H34" i="42"/>
  <c r="I34" i="42" s="1"/>
  <c r="D40" i="27"/>
  <c r="D46" i="11"/>
  <c r="E46" i="11"/>
  <c r="D35" i="41"/>
  <c r="E35" i="41"/>
  <c r="D35" i="40"/>
  <c r="E35" i="40"/>
  <c r="D47" i="7"/>
  <c r="E47" i="7"/>
  <c r="D36" i="39"/>
  <c r="E36" i="39"/>
  <c r="D42" i="23"/>
  <c r="E42" i="23"/>
  <c r="D39" i="29"/>
  <c r="D34" i="43"/>
  <c r="E34" i="43"/>
  <c r="D38" i="30"/>
  <c r="E38" i="30"/>
  <c r="D43" i="22"/>
  <c r="E43" i="22"/>
  <c r="D44" i="3"/>
  <c r="E44" i="3"/>
  <c r="D39" i="28"/>
  <c r="E39" i="28"/>
  <c r="B46" i="9"/>
  <c r="G35" i="39"/>
  <c r="D41" i="24"/>
  <c r="E41" i="24"/>
  <c r="D36" i="45"/>
  <c r="E36" i="45" s="1"/>
  <c r="H34" i="41"/>
  <c r="B35" i="46"/>
  <c r="F35" i="46"/>
  <c r="G35" i="46" s="1"/>
  <c r="G33" i="43"/>
  <c r="I33" i="43" s="1"/>
  <c r="G34" i="40"/>
  <c r="D36" i="38"/>
  <c r="E36" i="38" s="1"/>
  <c r="E48" i="10"/>
  <c r="D48" i="10"/>
  <c r="I45" i="9"/>
  <c r="D45" i="8"/>
  <c r="E45" i="8"/>
  <c r="H35" i="39"/>
  <c r="H35" i="45"/>
  <c r="I35" i="45" s="1"/>
  <c r="G34" i="41"/>
  <c r="D44" i="4"/>
  <c r="E44" i="4"/>
  <c r="D44" i="5"/>
  <c r="E44" i="5"/>
  <c r="D37" i="37"/>
  <c r="E37" i="37" s="1"/>
  <c r="D43" i="25"/>
  <c r="D39" i="31"/>
  <c r="D35" i="42"/>
  <c r="E35" i="42"/>
  <c r="H34" i="40"/>
  <c r="G35" i="38"/>
  <c r="I35" i="38" s="1"/>
  <c r="D45" i="6"/>
  <c r="G117" i="13"/>
  <c r="D118" i="13"/>
  <c r="E118" i="13" s="1"/>
  <c r="J116" i="13"/>
  <c r="D46" i="47" l="1"/>
  <c r="E46" i="47" s="1"/>
  <c r="G45" i="47"/>
  <c r="H45" i="47"/>
  <c r="I45" i="47" s="1"/>
  <c r="D36" i="13"/>
  <c r="G35" i="13"/>
  <c r="I35" i="13" s="1"/>
  <c r="E39" i="31"/>
  <c r="F39" i="31" s="1"/>
  <c r="H39" i="31" s="1"/>
  <c r="E39" i="29"/>
  <c r="F39" i="29" s="1"/>
  <c r="H39" i="29" s="1"/>
  <c r="E43" i="25"/>
  <c r="F43" i="25" s="1"/>
  <c r="G43" i="25" s="1"/>
  <c r="G46" i="9"/>
  <c r="E45" i="6"/>
  <c r="F45" i="6" s="1"/>
  <c r="H45" i="6" s="1"/>
  <c r="I37" i="30"/>
  <c r="I38" i="28"/>
  <c r="I42" i="25"/>
  <c r="I43" i="4"/>
  <c r="E36" i="44"/>
  <c r="F36" i="44" s="1"/>
  <c r="G36" i="44" s="1"/>
  <c r="B36" i="44"/>
  <c r="I46" i="7"/>
  <c r="I34" i="40"/>
  <c r="I45" i="11"/>
  <c r="I44" i="6"/>
  <c r="I47" i="10"/>
  <c r="I39" i="27"/>
  <c r="I34" i="41"/>
  <c r="B40" i="27"/>
  <c r="I41" i="23"/>
  <c r="I35" i="39"/>
  <c r="I44" i="8"/>
  <c r="I43" i="3"/>
  <c r="E40" i="27"/>
  <c r="F40" i="27" s="1"/>
  <c r="H40" i="27" s="1"/>
  <c r="F41" i="24"/>
  <c r="G41" i="24" s="1"/>
  <c r="B41" i="24"/>
  <c r="D47" i="9"/>
  <c r="E47" i="9"/>
  <c r="B34" i="43"/>
  <c r="F34" i="43"/>
  <c r="H34" i="43" s="1"/>
  <c r="F47" i="7"/>
  <c r="G47" i="7" s="1"/>
  <c r="B47" i="7"/>
  <c r="B45" i="6"/>
  <c r="B39" i="31"/>
  <c r="B43" i="25"/>
  <c r="B45" i="8"/>
  <c r="F45" i="8"/>
  <c r="H45" i="8" s="1"/>
  <c r="I42" i="22"/>
  <c r="F38" i="30"/>
  <c r="H38" i="30" s="1"/>
  <c r="B38" i="30"/>
  <c r="B36" i="38"/>
  <c r="F36" i="38"/>
  <c r="G36" i="38" s="1"/>
  <c r="D36" i="46"/>
  <c r="B39" i="28"/>
  <c r="F39" i="28"/>
  <c r="H39" i="28" s="1"/>
  <c r="F35" i="40"/>
  <c r="H35" i="40" s="1"/>
  <c r="B35" i="40"/>
  <c r="F35" i="42"/>
  <c r="H35" i="42" s="1"/>
  <c r="B35" i="42"/>
  <c r="I38" i="31"/>
  <c r="I43" i="5"/>
  <c r="B44" i="4"/>
  <c r="F44" i="4"/>
  <c r="H44" i="4" s="1"/>
  <c r="H35" i="46"/>
  <c r="I35" i="46" s="1"/>
  <c r="F36" i="45"/>
  <c r="H36" i="45" s="1"/>
  <c r="B36" i="45"/>
  <c r="I40" i="24"/>
  <c r="B43" i="22"/>
  <c r="F43" i="22"/>
  <c r="H43" i="22" s="1"/>
  <c r="I38" i="29"/>
  <c r="B42" i="23"/>
  <c r="F42" i="23"/>
  <c r="H42" i="23" s="1"/>
  <c r="F36" i="39"/>
  <c r="G36" i="39" s="1"/>
  <c r="B36" i="39"/>
  <c r="B37" i="37"/>
  <c r="F37" i="37"/>
  <c r="H37" i="37" s="1"/>
  <c r="F44" i="3"/>
  <c r="H44" i="3" s="1"/>
  <c r="B44" i="3"/>
  <c r="B39" i="29"/>
  <c r="F44" i="5"/>
  <c r="H44" i="5" s="1"/>
  <c r="B44" i="5"/>
  <c r="F48" i="10"/>
  <c r="H48" i="10" s="1"/>
  <c r="B48" i="10"/>
  <c r="B35" i="41"/>
  <c r="F35" i="41"/>
  <c r="G35" i="41" s="1"/>
  <c r="B46" i="11"/>
  <c r="F46" i="11"/>
  <c r="H46" i="11" s="1"/>
  <c r="F118" i="13"/>
  <c r="B118" i="13"/>
  <c r="H117" i="13"/>
  <c r="I117" i="13"/>
  <c r="F46" i="47" l="1"/>
  <c r="H46" i="47" s="1"/>
  <c r="B46" i="47"/>
  <c r="E36" i="13"/>
  <c r="F36" i="13" s="1"/>
  <c r="B36" i="13"/>
  <c r="G39" i="31"/>
  <c r="G38" i="30"/>
  <c r="G39" i="29"/>
  <c r="G39" i="28"/>
  <c r="G40" i="27"/>
  <c r="H43" i="25"/>
  <c r="H41" i="24"/>
  <c r="G42" i="23"/>
  <c r="G43" i="22"/>
  <c r="G46" i="11"/>
  <c r="G48" i="10"/>
  <c r="G45" i="8"/>
  <c r="H47" i="7"/>
  <c r="G45" i="6"/>
  <c r="G44" i="5"/>
  <c r="G44" i="4"/>
  <c r="G44" i="3"/>
  <c r="D37" i="44"/>
  <c r="H36" i="44"/>
  <c r="I36" i="44" s="1"/>
  <c r="H35" i="41"/>
  <c r="I35" i="41" s="1"/>
  <c r="H36" i="39"/>
  <c r="I36" i="39" s="1"/>
  <c r="G34" i="43"/>
  <c r="I34" i="43" s="1"/>
  <c r="E41" i="27"/>
  <c r="D41" i="27"/>
  <c r="G37" i="37"/>
  <c r="I37" i="37" s="1"/>
  <c r="G36" i="45"/>
  <c r="I36" i="45" s="1"/>
  <c r="B36" i="46"/>
  <c r="D46" i="6"/>
  <c r="E46" i="6"/>
  <c r="B47" i="9"/>
  <c r="F47" i="9"/>
  <c r="H47" i="9" s="1"/>
  <c r="D45" i="5"/>
  <c r="D45" i="3"/>
  <c r="D37" i="39"/>
  <c r="E37" i="39"/>
  <c r="D44" i="22"/>
  <c r="E44" i="22"/>
  <c r="D45" i="4"/>
  <c r="E45" i="4"/>
  <c r="D40" i="28"/>
  <c r="E40" i="28"/>
  <c r="D37" i="38"/>
  <c r="E37" i="38" s="1"/>
  <c r="D46" i="8"/>
  <c r="D40" i="31"/>
  <c r="E40" i="31"/>
  <c r="D48" i="7"/>
  <c r="E48" i="7"/>
  <c r="D36" i="40"/>
  <c r="E36" i="40" s="1"/>
  <c r="D38" i="37"/>
  <c r="E38" i="37" s="1"/>
  <c r="D43" i="23"/>
  <c r="G35" i="40"/>
  <c r="I35" i="40" s="1"/>
  <c r="I46" i="9"/>
  <c r="D47" i="11"/>
  <c r="E47" i="11"/>
  <c r="D36" i="42"/>
  <c r="E36" i="42" s="1"/>
  <c r="D36" i="41"/>
  <c r="E36" i="41"/>
  <c r="D49" i="10"/>
  <c r="E49" i="10"/>
  <c r="D40" i="29"/>
  <c r="E40" i="29"/>
  <c r="D37" i="45"/>
  <c r="G35" i="42"/>
  <c r="I35" i="42" s="1"/>
  <c r="E36" i="46"/>
  <c r="F36" i="46" s="1"/>
  <c r="H36" i="38"/>
  <c r="I36" i="38" s="1"/>
  <c r="D39" i="30"/>
  <c r="D44" i="25"/>
  <c r="D35" i="43"/>
  <c r="E35" i="43"/>
  <c r="D42" i="24"/>
  <c r="E42" i="24"/>
  <c r="J117" i="13"/>
  <c r="G118" i="13"/>
  <c r="D119" i="13"/>
  <c r="D47" i="47" l="1"/>
  <c r="E47" i="47"/>
  <c r="G46" i="47"/>
  <c r="I46" i="47" s="1"/>
  <c r="G36" i="13"/>
  <c r="H36" i="13"/>
  <c r="D37" i="13"/>
  <c r="E39" i="30"/>
  <c r="F39" i="30" s="1"/>
  <c r="H39" i="30" s="1"/>
  <c r="E44" i="25"/>
  <c r="F44" i="25" s="1"/>
  <c r="H44" i="25" s="1"/>
  <c r="E43" i="23"/>
  <c r="F43" i="23" s="1"/>
  <c r="G43" i="23" s="1"/>
  <c r="G47" i="9"/>
  <c r="E46" i="8"/>
  <c r="F46" i="8" s="1"/>
  <c r="H46" i="8" s="1"/>
  <c r="E45" i="5"/>
  <c r="F45" i="5" s="1"/>
  <c r="H45" i="5" s="1"/>
  <c r="E45" i="3"/>
  <c r="I43" i="22"/>
  <c r="E37" i="44"/>
  <c r="F37" i="44" s="1"/>
  <c r="B37" i="44"/>
  <c r="I39" i="31"/>
  <c r="I44" i="3"/>
  <c r="I45" i="8"/>
  <c r="I44" i="5"/>
  <c r="I40" i="27"/>
  <c r="I43" i="25"/>
  <c r="I42" i="23"/>
  <c r="I48" i="10"/>
  <c r="I46" i="11"/>
  <c r="F41" i="27"/>
  <c r="H41" i="27" s="1"/>
  <c r="B41" i="27"/>
  <c r="D37" i="46"/>
  <c r="H36" i="46"/>
  <c r="G36" i="46"/>
  <c r="B37" i="38"/>
  <c r="F37" i="38"/>
  <c r="H37" i="38" s="1"/>
  <c r="I38" i="30"/>
  <c r="F36" i="42"/>
  <c r="G36" i="42" s="1"/>
  <c r="B36" i="42"/>
  <c r="B43" i="23"/>
  <c r="F45" i="3"/>
  <c r="H45" i="3" s="1"/>
  <c r="B45" i="3"/>
  <c r="F36" i="40"/>
  <c r="G36" i="40" s="1"/>
  <c r="B36" i="40"/>
  <c r="B46" i="8"/>
  <c r="B42" i="24"/>
  <c r="F42" i="24"/>
  <c r="H42" i="24" s="1"/>
  <c r="F35" i="43"/>
  <c r="H35" i="43" s="1"/>
  <c r="B35" i="43"/>
  <c r="B44" i="25"/>
  <c r="B37" i="45"/>
  <c r="I39" i="29"/>
  <c r="F36" i="41"/>
  <c r="G36" i="41" s="1"/>
  <c r="B36" i="41"/>
  <c r="I47" i="7"/>
  <c r="F40" i="28"/>
  <c r="G40" i="28" s="1"/>
  <c r="B40" i="28"/>
  <c r="F45" i="4"/>
  <c r="G45" i="4" s="1"/>
  <c r="B45" i="4"/>
  <c r="F44" i="22"/>
  <c r="H44" i="22" s="1"/>
  <c r="B44" i="22"/>
  <c r="F37" i="39"/>
  <c r="H37" i="39" s="1"/>
  <c r="B37" i="39"/>
  <c r="B45" i="5"/>
  <c r="B46" i="6"/>
  <c r="F46" i="6"/>
  <c r="H46" i="6" s="1"/>
  <c r="B39" i="30"/>
  <c r="I41" i="24"/>
  <c r="E37" i="45"/>
  <c r="F37" i="45" s="1"/>
  <c r="B40" i="29"/>
  <c r="F40" i="29"/>
  <c r="H40" i="29" s="1"/>
  <c r="F49" i="10"/>
  <c r="G49" i="10" s="1"/>
  <c r="B49" i="10"/>
  <c r="F47" i="11"/>
  <c r="G47" i="11" s="1"/>
  <c r="B47" i="11"/>
  <c r="B38" i="37"/>
  <c r="F38" i="37"/>
  <c r="F48" i="7"/>
  <c r="H48" i="7" s="1"/>
  <c r="B48" i="7"/>
  <c r="B40" i="31"/>
  <c r="F40" i="31"/>
  <c r="G40" i="31" s="1"/>
  <c r="I39" i="28"/>
  <c r="I44" i="4"/>
  <c r="E48" i="9"/>
  <c r="D48" i="9"/>
  <c r="I45" i="6"/>
  <c r="B119" i="13"/>
  <c r="E119" i="13"/>
  <c r="F119" i="13" s="1"/>
  <c r="H118" i="13"/>
  <c r="I118" i="13"/>
  <c r="I36" i="13" l="1"/>
  <c r="F47" i="47"/>
  <c r="B47" i="47"/>
  <c r="E37" i="13"/>
  <c r="F37" i="13" s="1"/>
  <c r="B37" i="13"/>
  <c r="H40" i="31"/>
  <c r="G39" i="30"/>
  <c r="G40" i="29"/>
  <c r="H40" i="28"/>
  <c r="G41" i="27"/>
  <c r="G44" i="25"/>
  <c r="G42" i="24"/>
  <c r="H43" i="23"/>
  <c r="G44" i="22"/>
  <c r="H47" i="11"/>
  <c r="H49" i="10"/>
  <c r="G46" i="8"/>
  <c r="G48" i="7"/>
  <c r="G46" i="6"/>
  <c r="G45" i="5"/>
  <c r="H45" i="4"/>
  <c r="G45" i="3"/>
  <c r="H37" i="44"/>
  <c r="G37" i="44"/>
  <c r="D38" i="44"/>
  <c r="G37" i="38"/>
  <c r="I37" i="38" s="1"/>
  <c r="E42" i="27"/>
  <c r="D42" i="27"/>
  <c r="G37" i="39"/>
  <c r="I37" i="39" s="1"/>
  <c r="G35" i="43"/>
  <c r="I35" i="43" s="1"/>
  <c r="D38" i="45"/>
  <c r="E38" i="45" s="1"/>
  <c r="H37" i="45"/>
  <c r="G37" i="45"/>
  <c r="D39" i="37"/>
  <c r="E39" i="37"/>
  <c r="D41" i="29"/>
  <c r="E41" i="29"/>
  <c r="D44" i="23"/>
  <c r="J118" i="13"/>
  <c r="I47" i="9"/>
  <c r="G38" i="37"/>
  <c r="D48" i="11"/>
  <c r="D40" i="30"/>
  <c r="D46" i="5"/>
  <c r="D38" i="39"/>
  <c r="E38" i="39"/>
  <c r="D46" i="4"/>
  <c r="D43" i="24"/>
  <c r="E43" i="24"/>
  <c r="I36" i="46"/>
  <c r="D37" i="41"/>
  <c r="E37" i="41"/>
  <c r="D45" i="25"/>
  <c r="E45" i="25"/>
  <c r="D47" i="8"/>
  <c r="E47" i="8"/>
  <c r="D37" i="40"/>
  <c r="E37" i="40"/>
  <c r="D37" i="42"/>
  <c r="E37" i="42"/>
  <c r="F48" i="9"/>
  <c r="H48" i="9" s="1"/>
  <c r="B48" i="9"/>
  <c r="D49" i="7"/>
  <c r="D47" i="6"/>
  <c r="H36" i="40"/>
  <c r="I36" i="40" s="1"/>
  <c r="D46" i="3"/>
  <c r="E46" i="3"/>
  <c r="D38" i="38"/>
  <c r="E38" i="38"/>
  <c r="B37" i="46"/>
  <c r="D41" i="31"/>
  <c r="H38" i="37"/>
  <c r="D50" i="10"/>
  <c r="E50" i="10"/>
  <c r="D45" i="22"/>
  <c r="E45" i="22"/>
  <c r="D41" i="28"/>
  <c r="E41" i="28"/>
  <c r="H36" i="41"/>
  <c r="I36" i="41" s="1"/>
  <c r="D36" i="43"/>
  <c r="E36" i="43"/>
  <c r="H36" i="42"/>
  <c r="I36" i="42" s="1"/>
  <c r="E37" i="46"/>
  <c r="F37" i="46" s="1"/>
  <c r="D120" i="13"/>
  <c r="G119" i="13"/>
  <c r="I37" i="44" l="1"/>
  <c r="D48" i="47"/>
  <c r="G47" i="47"/>
  <c r="H47" i="47"/>
  <c r="I47" i="47" s="1"/>
  <c r="G37" i="13"/>
  <c r="D38" i="13"/>
  <c r="H37" i="13"/>
  <c r="I37" i="13" s="1"/>
  <c r="E41" i="31"/>
  <c r="F41" i="31" s="1"/>
  <c r="H41" i="31" s="1"/>
  <c r="E40" i="30"/>
  <c r="E44" i="23"/>
  <c r="F44" i="23" s="1"/>
  <c r="H44" i="23" s="1"/>
  <c r="E48" i="11"/>
  <c r="F48" i="11" s="1"/>
  <c r="H48" i="11" s="1"/>
  <c r="G48" i="9"/>
  <c r="E49" i="7"/>
  <c r="E47" i="6"/>
  <c r="F47" i="6" s="1"/>
  <c r="H47" i="6" s="1"/>
  <c r="E46" i="5"/>
  <c r="E46" i="4"/>
  <c r="F46" i="4" s="1"/>
  <c r="H46" i="4" s="1"/>
  <c r="I38" i="37"/>
  <c r="E38" i="44"/>
  <c r="F38" i="44" s="1"/>
  <c r="B38" i="44"/>
  <c r="I44" i="25"/>
  <c r="I42" i="24"/>
  <c r="I45" i="4"/>
  <c r="I40" i="29"/>
  <c r="I44" i="22"/>
  <c r="I49" i="10"/>
  <c r="I40" i="31"/>
  <c r="I46" i="8"/>
  <c r="I45" i="5"/>
  <c r="I39" i="30"/>
  <c r="F42" i="27"/>
  <c r="G42" i="27" s="1"/>
  <c r="B42" i="27"/>
  <c r="I43" i="23"/>
  <c r="I41" i="27"/>
  <c r="D38" i="46"/>
  <c r="E38" i="46" s="1"/>
  <c r="H37" i="46"/>
  <c r="G37" i="46"/>
  <c r="B46" i="3"/>
  <c r="F46" i="3"/>
  <c r="H46" i="3" s="1"/>
  <c r="B40" i="30"/>
  <c r="F40" i="30"/>
  <c r="H40" i="30" s="1"/>
  <c r="B41" i="28"/>
  <c r="F41" i="28"/>
  <c r="H41" i="28" s="1"/>
  <c r="F38" i="38"/>
  <c r="H38" i="38" s="1"/>
  <c r="B38" i="38"/>
  <c r="I45" i="3"/>
  <c r="D49" i="9"/>
  <c r="E49" i="9"/>
  <c r="B37" i="40"/>
  <c r="F37" i="40"/>
  <c r="H37" i="40" s="1"/>
  <c r="B47" i="8"/>
  <c r="F47" i="8"/>
  <c r="G47" i="8" s="1"/>
  <c r="B43" i="24"/>
  <c r="F43" i="24"/>
  <c r="H43" i="24" s="1"/>
  <c r="B38" i="39"/>
  <c r="F38" i="39"/>
  <c r="H38" i="39" s="1"/>
  <c r="B48" i="11"/>
  <c r="I37" i="45"/>
  <c r="B46" i="5"/>
  <c r="F46" i="5"/>
  <c r="G46" i="5" s="1"/>
  <c r="B44" i="23"/>
  <c r="B36" i="43"/>
  <c r="F36" i="43"/>
  <c r="G36" i="43" s="1"/>
  <c r="I40" i="28"/>
  <c r="B45" i="22"/>
  <c r="F45" i="22"/>
  <c r="H45" i="22" s="1"/>
  <c r="B50" i="10"/>
  <c r="F50" i="10"/>
  <c r="H50" i="10" s="1"/>
  <c r="B47" i="6"/>
  <c r="I48" i="7"/>
  <c r="B41" i="31"/>
  <c r="I46" i="6"/>
  <c r="B49" i="7"/>
  <c r="F49" i="7"/>
  <c r="G49" i="7" s="1"/>
  <c r="B37" i="42"/>
  <c r="F37" i="42"/>
  <c r="H37" i="42" s="1"/>
  <c r="F45" i="25"/>
  <c r="G45" i="25" s="1"/>
  <c r="B45" i="25"/>
  <c r="B37" i="41"/>
  <c r="F37" i="41"/>
  <c r="H37" i="41" s="1"/>
  <c r="B46" i="4"/>
  <c r="I47" i="11"/>
  <c r="B41" i="29"/>
  <c r="F41" i="29"/>
  <c r="H41" i="29" s="1"/>
  <c r="B39" i="37"/>
  <c r="F39" i="37"/>
  <c r="H39" i="37" s="1"/>
  <c r="F38" i="45"/>
  <c r="G38" i="45" s="1"/>
  <c r="B38" i="45"/>
  <c r="H119" i="13"/>
  <c r="I119" i="13"/>
  <c r="B120" i="13"/>
  <c r="E120" i="13"/>
  <c r="F120" i="13" s="1"/>
  <c r="B48" i="47" l="1"/>
  <c r="E48" i="47"/>
  <c r="F48" i="47" s="1"/>
  <c r="H42" i="27"/>
  <c r="G40" i="30"/>
  <c r="E38" i="13"/>
  <c r="F38" i="13" s="1"/>
  <c r="B38" i="13"/>
  <c r="G41" i="31"/>
  <c r="G41" i="29"/>
  <c r="G41" i="28"/>
  <c r="H45" i="25"/>
  <c r="G43" i="24"/>
  <c r="G44" i="23"/>
  <c r="G45" i="22"/>
  <c r="G48" i="11"/>
  <c r="G50" i="10"/>
  <c r="H47" i="8"/>
  <c r="H49" i="7"/>
  <c r="G47" i="6"/>
  <c r="H46" i="5"/>
  <c r="G46" i="4"/>
  <c r="G46" i="3"/>
  <c r="G38" i="44"/>
  <c r="H38" i="44"/>
  <c r="D39" i="44"/>
  <c r="H38" i="45"/>
  <c r="I38" i="45" s="1"/>
  <c r="G37" i="40"/>
  <c r="I37" i="40" s="1"/>
  <c r="G38" i="38"/>
  <c r="I38" i="38" s="1"/>
  <c r="G37" i="41"/>
  <c r="I37" i="41" s="1"/>
  <c r="G37" i="42"/>
  <c r="I37" i="42" s="1"/>
  <c r="D43" i="27"/>
  <c r="D46" i="22"/>
  <c r="E46" i="22"/>
  <c r="D46" i="25"/>
  <c r="E46" i="25"/>
  <c r="D37" i="43"/>
  <c r="E37" i="43"/>
  <c r="G38" i="39"/>
  <c r="I38" i="39" s="1"/>
  <c r="D44" i="24"/>
  <c r="E44" i="24"/>
  <c r="I48" i="9"/>
  <c r="I37" i="46"/>
  <c r="D41" i="30"/>
  <c r="D39" i="45"/>
  <c r="E39" i="45" s="1"/>
  <c r="D38" i="41"/>
  <c r="E38" i="41" s="1"/>
  <c r="D50" i="7"/>
  <c r="D42" i="31"/>
  <c r="D51" i="10"/>
  <c r="E51" i="10"/>
  <c r="D38" i="40"/>
  <c r="E38" i="40"/>
  <c r="D42" i="28"/>
  <c r="D47" i="3"/>
  <c r="E47" i="3"/>
  <c r="E40" i="37"/>
  <c r="D40" i="37"/>
  <c r="D48" i="6"/>
  <c r="D47" i="5"/>
  <c r="G39" i="37"/>
  <c r="I39" i="37" s="1"/>
  <c r="D42" i="29"/>
  <c r="D47" i="4"/>
  <c r="D38" i="42"/>
  <c r="E38" i="42"/>
  <c r="H36" i="43"/>
  <c r="I36" i="43" s="1"/>
  <c r="D45" i="23"/>
  <c r="D49" i="11"/>
  <c r="D39" i="39"/>
  <c r="E39" i="39"/>
  <c r="D48" i="8"/>
  <c r="E48" i="8"/>
  <c r="F49" i="9"/>
  <c r="H49" i="9" s="1"/>
  <c r="B49" i="9"/>
  <c r="D39" i="38"/>
  <c r="E39" i="38"/>
  <c r="F38" i="46"/>
  <c r="H38" i="46" s="1"/>
  <c r="B38" i="46"/>
  <c r="J119" i="13"/>
  <c r="G120" i="13"/>
  <c r="D121" i="13"/>
  <c r="D49" i="47" l="1"/>
  <c r="E49" i="47"/>
  <c r="H48" i="47"/>
  <c r="G48" i="47"/>
  <c r="G38" i="13"/>
  <c r="D39" i="13"/>
  <c r="H38" i="13"/>
  <c r="E42" i="31"/>
  <c r="F42" i="31" s="1"/>
  <c r="G42" i="31" s="1"/>
  <c r="E41" i="30"/>
  <c r="F41" i="30" s="1"/>
  <c r="H41" i="30" s="1"/>
  <c r="E42" i="29"/>
  <c r="E42" i="28"/>
  <c r="F42" i="28" s="1"/>
  <c r="G42" i="28" s="1"/>
  <c r="E45" i="23"/>
  <c r="F45" i="23" s="1"/>
  <c r="H45" i="23" s="1"/>
  <c r="E49" i="11"/>
  <c r="G49" i="9"/>
  <c r="E50" i="7"/>
  <c r="E48" i="6"/>
  <c r="F48" i="6" s="1"/>
  <c r="H48" i="6" s="1"/>
  <c r="E47" i="5"/>
  <c r="E47" i="4"/>
  <c r="F47" i="4" s="1"/>
  <c r="G47" i="4" s="1"/>
  <c r="I38" i="44"/>
  <c r="E39" i="44"/>
  <c r="F39" i="44" s="1"/>
  <c r="B39" i="44"/>
  <c r="I46" i="5"/>
  <c r="I41" i="31"/>
  <c r="I43" i="24"/>
  <c r="I45" i="25"/>
  <c r="I47" i="8"/>
  <c r="I48" i="11"/>
  <c r="I46" i="4"/>
  <c r="I47" i="6"/>
  <c r="I50" i="10"/>
  <c r="I41" i="28"/>
  <c r="B43" i="27"/>
  <c r="I42" i="27"/>
  <c r="E43" i="27"/>
  <c r="F43" i="27" s="1"/>
  <c r="H43" i="27" s="1"/>
  <c r="B49" i="11"/>
  <c r="F49" i="11"/>
  <c r="H49" i="11" s="1"/>
  <c r="B47" i="4"/>
  <c r="B45" i="23"/>
  <c r="B38" i="42"/>
  <c r="F38" i="42"/>
  <c r="G38" i="42" s="1"/>
  <c r="B42" i="31"/>
  <c r="B50" i="7"/>
  <c r="F50" i="7"/>
  <c r="H50" i="7" s="1"/>
  <c r="I40" i="30"/>
  <c r="F46" i="22"/>
  <c r="H46" i="22" s="1"/>
  <c r="B46" i="22"/>
  <c r="D50" i="9"/>
  <c r="B47" i="5"/>
  <c r="F47" i="5"/>
  <c r="H47" i="5" s="1"/>
  <c r="B39" i="38"/>
  <c r="F39" i="38"/>
  <c r="G39" i="38" s="1"/>
  <c r="B39" i="39"/>
  <c r="F39" i="39"/>
  <c r="I44" i="23"/>
  <c r="B48" i="6"/>
  <c r="B47" i="3"/>
  <c r="F47" i="3"/>
  <c r="H47" i="3" s="1"/>
  <c r="B38" i="40"/>
  <c r="F38" i="40"/>
  <c r="G38" i="40" s="1"/>
  <c r="B51" i="10"/>
  <c r="F51" i="10"/>
  <c r="H51" i="10" s="1"/>
  <c r="I49" i="7"/>
  <c r="F39" i="45"/>
  <c r="B39" i="45"/>
  <c r="B41" i="30"/>
  <c r="D39" i="46"/>
  <c r="E39" i="46" s="1"/>
  <c r="F42" i="29"/>
  <c r="H42" i="29" s="1"/>
  <c r="B42" i="29"/>
  <c r="B42" i="28"/>
  <c r="F38" i="41"/>
  <c r="H38" i="41" s="1"/>
  <c r="B38" i="41"/>
  <c r="G38" i="46"/>
  <c r="I38" i="46" s="1"/>
  <c r="B48" i="8"/>
  <c r="F48" i="8"/>
  <c r="H48" i="8" s="1"/>
  <c r="I41" i="29"/>
  <c r="F40" i="37"/>
  <c r="B40" i="37"/>
  <c r="I46" i="3"/>
  <c r="F44" i="24"/>
  <c r="H44" i="24" s="1"/>
  <c r="B44" i="24"/>
  <c r="B37" i="43"/>
  <c r="F37" i="43"/>
  <c r="G37" i="43" s="1"/>
  <c r="F46" i="25"/>
  <c r="H46" i="25" s="1"/>
  <c r="B46" i="25"/>
  <c r="I45" i="22"/>
  <c r="B121" i="13"/>
  <c r="I120" i="13"/>
  <c r="H120" i="13"/>
  <c r="E121" i="13"/>
  <c r="F121" i="13" s="1"/>
  <c r="I48" i="47" l="1"/>
  <c r="B49" i="47"/>
  <c r="F49" i="47"/>
  <c r="I38" i="13"/>
  <c r="E39" i="13"/>
  <c r="F39" i="13"/>
  <c r="B39" i="13"/>
  <c r="H42" i="31"/>
  <c r="G41" i="30"/>
  <c r="G42" i="29"/>
  <c r="H42" i="28"/>
  <c r="G43" i="27"/>
  <c r="G46" i="25"/>
  <c r="G44" i="24"/>
  <c r="G45" i="23"/>
  <c r="G46" i="22"/>
  <c r="G49" i="11"/>
  <c r="G51" i="10"/>
  <c r="E50" i="9"/>
  <c r="F50" i="9" s="1"/>
  <c r="H50" i="9" s="1"/>
  <c r="G48" i="8"/>
  <c r="G50" i="7"/>
  <c r="G48" i="6"/>
  <c r="G47" i="5"/>
  <c r="H47" i="4"/>
  <c r="G47" i="3"/>
  <c r="H39" i="44"/>
  <c r="G39" i="44"/>
  <c r="D40" i="44"/>
  <c r="H38" i="40"/>
  <c r="I38" i="40" s="1"/>
  <c r="D44" i="27"/>
  <c r="E44" i="27"/>
  <c r="D47" i="25"/>
  <c r="E47" i="25"/>
  <c r="D43" i="29"/>
  <c r="E43" i="29"/>
  <c r="D40" i="45"/>
  <c r="B50" i="9"/>
  <c r="D48" i="4"/>
  <c r="E48" i="4"/>
  <c r="H39" i="45"/>
  <c r="D39" i="40"/>
  <c r="E39" i="40"/>
  <c r="D48" i="3"/>
  <c r="E48" i="3"/>
  <c r="D51" i="7"/>
  <c r="D46" i="23"/>
  <c r="E46" i="23"/>
  <c r="D50" i="11"/>
  <c r="E50" i="11"/>
  <c r="D41" i="37"/>
  <c r="E41" i="37" s="1"/>
  <c r="D39" i="41"/>
  <c r="E39" i="41"/>
  <c r="D42" i="30"/>
  <c r="E42" i="30"/>
  <c r="D40" i="39"/>
  <c r="E40" i="39"/>
  <c r="D48" i="5"/>
  <c r="D38" i="43"/>
  <c r="E38" i="43"/>
  <c r="H40" i="37"/>
  <c r="D49" i="8"/>
  <c r="D43" i="28"/>
  <c r="F39" i="46"/>
  <c r="H39" i="46" s="1"/>
  <c r="B39" i="46"/>
  <c r="G39" i="45"/>
  <c r="H39" i="39"/>
  <c r="D40" i="38"/>
  <c r="E40" i="38"/>
  <c r="D39" i="42"/>
  <c r="E39" i="42" s="1"/>
  <c r="H37" i="43"/>
  <c r="I37" i="43" s="1"/>
  <c r="D45" i="24"/>
  <c r="E45" i="24"/>
  <c r="G40" i="37"/>
  <c r="G38" i="41"/>
  <c r="I38" i="41" s="1"/>
  <c r="D52" i="10"/>
  <c r="D49" i="6"/>
  <c r="G39" i="39"/>
  <c r="H39" i="38"/>
  <c r="I39" i="38" s="1"/>
  <c r="I49" i="9"/>
  <c r="D47" i="22"/>
  <c r="D43" i="31"/>
  <c r="H38" i="42"/>
  <c r="I38" i="42" s="1"/>
  <c r="J120" i="13"/>
  <c r="D122" i="13"/>
  <c r="E122" i="13" s="1"/>
  <c r="G121" i="13"/>
  <c r="D50" i="47" l="1"/>
  <c r="E50" i="47" s="1"/>
  <c r="G49" i="47"/>
  <c r="H49" i="47"/>
  <c r="D40" i="13"/>
  <c r="H39" i="13"/>
  <c r="G39" i="13"/>
  <c r="E43" i="31"/>
  <c r="F43" i="31" s="1"/>
  <c r="H43" i="31" s="1"/>
  <c r="E43" i="28"/>
  <c r="F43" i="28" s="1"/>
  <c r="H43" i="28" s="1"/>
  <c r="E47" i="22"/>
  <c r="F47" i="22" s="1"/>
  <c r="H47" i="22" s="1"/>
  <c r="E52" i="10"/>
  <c r="F52" i="10" s="1"/>
  <c r="G52" i="10" s="1"/>
  <c r="G50" i="9"/>
  <c r="E49" i="8"/>
  <c r="F49" i="8" s="1"/>
  <c r="H49" i="8" s="1"/>
  <c r="E51" i="7"/>
  <c r="E49" i="6"/>
  <c r="F49" i="6" s="1"/>
  <c r="H49" i="6" s="1"/>
  <c r="E48" i="5"/>
  <c r="F48" i="5" s="1"/>
  <c r="H48" i="5" s="1"/>
  <c r="I39" i="44"/>
  <c r="E40" i="44"/>
  <c r="F40" i="44" s="1"/>
  <c r="H40" i="44" s="1"/>
  <c r="B40" i="44"/>
  <c r="I50" i="7"/>
  <c r="I47" i="3"/>
  <c r="I51" i="10"/>
  <c r="G39" i="46"/>
  <c r="I39" i="46" s="1"/>
  <c r="I42" i="28"/>
  <c r="I48" i="8"/>
  <c r="I41" i="30"/>
  <c r="B44" i="27"/>
  <c r="F44" i="27"/>
  <c r="G44" i="27" s="1"/>
  <c r="I44" i="24"/>
  <c r="I49" i="11"/>
  <c r="I43" i="27"/>
  <c r="B47" i="22"/>
  <c r="B52" i="10"/>
  <c r="F50" i="11"/>
  <c r="H50" i="11" s="1"/>
  <c r="B50" i="11"/>
  <c r="D51" i="9"/>
  <c r="E51" i="9"/>
  <c r="I39" i="39"/>
  <c r="I40" i="37"/>
  <c r="B40" i="39"/>
  <c r="F40" i="39"/>
  <c r="G40" i="39" s="1"/>
  <c r="B42" i="30"/>
  <c r="F42" i="30"/>
  <c r="H42" i="30" s="1"/>
  <c r="F51" i="7"/>
  <c r="H51" i="7" s="1"/>
  <c r="B51" i="7"/>
  <c r="B48" i="3"/>
  <c r="F48" i="3"/>
  <c r="H48" i="3" s="1"/>
  <c r="B39" i="40"/>
  <c r="F39" i="40"/>
  <c r="G39" i="40" s="1"/>
  <c r="B48" i="4"/>
  <c r="F48" i="4"/>
  <c r="H48" i="4" s="1"/>
  <c r="B40" i="45"/>
  <c r="F40" i="38"/>
  <c r="H40" i="38" s="1"/>
  <c r="B40" i="38"/>
  <c r="F46" i="23"/>
  <c r="H46" i="23" s="1"/>
  <c r="B46" i="23"/>
  <c r="F47" i="25"/>
  <c r="G47" i="25" s="1"/>
  <c r="B47" i="25"/>
  <c r="I42" i="31"/>
  <c r="I46" i="22"/>
  <c r="B49" i="6"/>
  <c r="F39" i="42"/>
  <c r="B39" i="42"/>
  <c r="D40" i="46"/>
  <c r="B48" i="5"/>
  <c r="I39" i="45"/>
  <c r="I47" i="4"/>
  <c r="E40" i="45"/>
  <c r="F40" i="45" s="1"/>
  <c r="I42" i="29"/>
  <c r="I46" i="25"/>
  <c r="B43" i="31"/>
  <c r="B45" i="24"/>
  <c r="F45" i="24"/>
  <c r="G45" i="24" s="1"/>
  <c r="F41" i="37"/>
  <c r="H41" i="37" s="1"/>
  <c r="B41" i="37"/>
  <c r="B43" i="29"/>
  <c r="F43" i="29"/>
  <c r="H43" i="29" s="1"/>
  <c r="I48" i="6"/>
  <c r="B43" i="28"/>
  <c r="B49" i="8"/>
  <c r="F38" i="43"/>
  <c r="H38" i="43" s="1"/>
  <c r="B38" i="43"/>
  <c r="I47" i="5"/>
  <c r="B39" i="41"/>
  <c r="F39" i="41"/>
  <c r="G39" i="41" s="1"/>
  <c r="I45" i="23"/>
  <c r="H121" i="13"/>
  <c r="I121" i="13"/>
  <c r="F122" i="13"/>
  <c r="B122" i="13"/>
  <c r="I49" i="47" l="1"/>
  <c r="B50" i="47"/>
  <c r="F50" i="47"/>
  <c r="I39" i="13"/>
  <c r="E40" i="13"/>
  <c r="F40" i="13" s="1"/>
  <c r="B40" i="13"/>
  <c r="G43" i="31"/>
  <c r="G42" i="30"/>
  <c r="G43" i="29"/>
  <c r="G43" i="28"/>
  <c r="H44" i="27"/>
  <c r="H47" i="25"/>
  <c r="H45" i="24"/>
  <c r="G46" i="23"/>
  <c r="G47" i="22"/>
  <c r="G50" i="11"/>
  <c r="H52" i="10"/>
  <c r="G49" i="8"/>
  <c r="G51" i="7"/>
  <c r="G49" i="6"/>
  <c r="G48" i="5"/>
  <c r="G48" i="4"/>
  <c r="G48" i="3"/>
  <c r="G40" i="44"/>
  <c r="I40" i="44" s="1"/>
  <c r="D41" i="44"/>
  <c r="E41" i="44" s="1"/>
  <c r="I50" i="9"/>
  <c r="G40" i="38"/>
  <c r="I40" i="38" s="1"/>
  <c r="H39" i="40"/>
  <c r="D45" i="27"/>
  <c r="E45" i="27"/>
  <c r="D41" i="45"/>
  <c r="H40" i="45"/>
  <c r="G40" i="45"/>
  <c r="B40" i="46"/>
  <c r="D40" i="42"/>
  <c r="E40" i="42" s="1"/>
  <c r="I39" i="40"/>
  <c r="D53" i="10"/>
  <c r="D40" i="41"/>
  <c r="E40" i="41" s="1"/>
  <c r="D44" i="28"/>
  <c r="E44" i="28"/>
  <c r="D46" i="24"/>
  <c r="E40" i="46"/>
  <c r="F40" i="46" s="1"/>
  <c r="H39" i="42"/>
  <c r="D48" i="25"/>
  <c r="D52" i="7"/>
  <c r="D41" i="39"/>
  <c r="E41" i="39"/>
  <c r="F51" i="9"/>
  <c r="H51" i="9" s="1"/>
  <c r="B51" i="9"/>
  <c r="D42" i="37"/>
  <c r="E42" i="37"/>
  <c r="D49" i="4"/>
  <c r="E49" i="4"/>
  <c r="H39" i="41"/>
  <c r="I39" i="41" s="1"/>
  <c r="D49" i="5"/>
  <c r="E49" i="5"/>
  <c r="D50" i="6"/>
  <c r="D49" i="3"/>
  <c r="E49" i="3"/>
  <c r="D43" i="30"/>
  <c r="D48" i="22"/>
  <c r="D39" i="43"/>
  <c r="E39" i="43" s="1"/>
  <c r="D44" i="31"/>
  <c r="G38" i="43"/>
  <c r="I38" i="43" s="1"/>
  <c r="D50" i="8"/>
  <c r="D44" i="29"/>
  <c r="E44" i="29"/>
  <c r="G41" i="37"/>
  <c r="I41" i="37" s="1"/>
  <c r="G39" i="42"/>
  <c r="D47" i="23"/>
  <c r="D41" i="38"/>
  <c r="E41" i="38"/>
  <c r="D40" i="40"/>
  <c r="E40" i="40" s="1"/>
  <c r="H40" i="39"/>
  <c r="I40" i="39" s="1"/>
  <c r="D51" i="11"/>
  <c r="J121" i="13"/>
  <c r="D123" i="13"/>
  <c r="E123" i="13" s="1"/>
  <c r="G122" i="13"/>
  <c r="D51" i="47" l="1"/>
  <c r="E51" i="47" s="1"/>
  <c r="G50" i="47"/>
  <c r="H50" i="47"/>
  <c r="H40" i="13"/>
  <c r="G40" i="13"/>
  <c r="D41" i="13"/>
  <c r="E44" i="31"/>
  <c r="F44" i="31" s="1"/>
  <c r="G44" i="31" s="1"/>
  <c r="E43" i="30"/>
  <c r="E48" i="25"/>
  <c r="F48" i="25" s="1"/>
  <c r="H48" i="25" s="1"/>
  <c r="E46" i="24"/>
  <c r="F46" i="24" s="1"/>
  <c r="H46" i="24" s="1"/>
  <c r="E47" i="23"/>
  <c r="F47" i="23" s="1"/>
  <c r="G47" i="23" s="1"/>
  <c r="E48" i="22"/>
  <c r="E51" i="11"/>
  <c r="E53" i="10"/>
  <c r="F53" i="10" s="1"/>
  <c r="G53" i="10" s="1"/>
  <c r="G51" i="9"/>
  <c r="E50" i="8"/>
  <c r="E52" i="7"/>
  <c r="F52" i="7" s="1"/>
  <c r="H52" i="7" s="1"/>
  <c r="E50" i="6"/>
  <c r="F50" i="6" s="1"/>
  <c r="H50" i="6" s="1"/>
  <c r="I44" i="27"/>
  <c r="F41" i="44"/>
  <c r="G41" i="44" s="1"/>
  <c r="B41" i="44"/>
  <c r="I43" i="31"/>
  <c r="I47" i="22"/>
  <c r="I47" i="25"/>
  <c r="I48" i="5"/>
  <c r="I73" i="5" s="1"/>
  <c r="I42" i="30"/>
  <c r="I50" i="11"/>
  <c r="I48" i="3"/>
  <c r="I52" i="10"/>
  <c r="I45" i="24"/>
  <c r="B45" i="27"/>
  <c r="F45" i="27"/>
  <c r="H45" i="27" s="1"/>
  <c r="D41" i="46"/>
  <c r="G40" i="46"/>
  <c r="H40" i="46"/>
  <c r="F48" i="22"/>
  <c r="H48" i="22" s="1"/>
  <c r="B48" i="22"/>
  <c r="B50" i="6"/>
  <c r="B52" i="7"/>
  <c r="F44" i="28"/>
  <c r="G44" i="28" s="1"/>
  <c r="B44" i="28"/>
  <c r="B41" i="45"/>
  <c r="F41" i="38"/>
  <c r="G41" i="38" s="1"/>
  <c r="B41" i="38"/>
  <c r="B47" i="23"/>
  <c r="B44" i="29"/>
  <c r="F44" i="29"/>
  <c r="H44" i="29" s="1"/>
  <c r="I49" i="8"/>
  <c r="I48" i="4"/>
  <c r="F41" i="39"/>
  <c r="G41" i="39" s="1"/>
  <c r="B41" i="39"/>
  <c r="B53" i="10"/>
  <c r="F40" i="42"/>
  <c r="G40" i="42" s="1"/>
  <c r="B40" i="42"/>
  <c r="E41" i="45"/>
  <c r="F41" i="45" s="1"/>
  <c r="B44" i="31"/>
  <c r="F49" i="3"/>
  <c r="H49" i="3" s="1"/>
  <c r="B49" i="3"/>
  <c r="B48" i="25"/>
  <c r="B40" i="41"/>
  <c r="F40" i="41"/>
  <c r="F39" i="43"/>
  <c r="G39" i="43" s="1"/>
  <c r="B39" i="43"/>
  <c r="B43" i="30"/>
  <c r="F43" i="30"/>
  <c r="H43" i="30" s="1"/>
  <c r="F51" i="11"/>
  <c r="G51" i="11" s="1"/>
  <c r="B51" i="11"/>
  <c r="B40" i="40"/>
  <c r="F40" i="40"/>
  <c r="H40" i="40" s="1"/>
  <c r="I46" i="23"/>
  <c r="I43" i="29"/>
  <c r="B50" i="8"/>
  <c r="F50" i="8"/>
  <c r="G50" i="8" s="1"/>
  <c r="I49" i="6"/>
  <c r="B49" i="5"/>
  <c r="F49" i="5"/>
  <c r="H49" i="5" s="1"/>
  <c r="F49" i="4"/>
  <c r="H49" i="4" s="1"/>
  <c r="B49" i="4"/>
  <c r="B42" i="37"/>
  <c r="F42" i="37"/>
  <c r="G42" i="37" s="1"/>
  <c r="D52" i="9"/>
  <c r="E52" i="9"/>
  <c r="I51" i="7"/>
  <c r="I39" i="42"/>
  <c r="B46" i="24"/>
  <c r="I43" i="28"/>
  <c r="I40" i="45"/>
  <c r="I122" i="13"/>
  <c r="H122" i="13"/>
  <c r="F123" i="13"/>
  <c r="B123" i="13"/>
  <c r="I50" i="47" l="1"/>
  <c r="F51" i="47"/>
  <c r="B51" i="47"/>
  <c r="H51" i="47"/>
  <c r="I40" i="13"/>
  <c r="H53" i="10"/>
  <c r="E41" i="13"/>
  <c r="F41" i="13" s="1"/>
  <c r="B41" i="13"/>
  <c r="H44" i="31"/>
  <c r="G43" i="30"/>
  <c r="G44" i="29"/>
  <c r="H44" i="28"/>
  <c r="G45" i="27"/>
  <c r="G48" i="25"/>
  <c r="G46" i="24"/>
  <c r="H47" i="23"/>
  <c r="G48" i="22"/>
  <c r="H51" i="11"/>
  <c r="H50" i="8"/>
  <c r="G52" i="7"/>
  <c r="G50" i="6"/>
  <c r="G49" i="5"/>
  <c r="G49" i="4"/>
  <c r="G49" i="3"/>
  <c r="H41" i="44"/>
  <c r="I41" i="44" s="1"/>
  <c r="D42" i="44"/>
  <c r="G40" i="40"/>
  <c r="I40" i="40" s="1"/>
  <c r="H41" i="38"/>
  <c r="I41" i="38" s="1"/>
  <c r="I40" i="46"/>
  <c r="I51" i="9"/>
  <c r="H40" i="42"/>
  <c r="I40" i="42" s="1"/>
  <c r="H39" i="43"/>
  <c r="I39" i="43" s="1"/>
  <c r="D46" i="27"/>
  <c r="E46" i="27"/>
  <c r="D42" i="45"/>
  <c r="H41" i="45"/>
  <c r="G41" i="45"/>
  <c r="D41" i="41"/>
  <c r="E41" i="41"/>
  <c r="D45" i="31"/>
  <c r="E45" i="31"/>
  <c r="D47" i="24"/>
  <c r="D44" i="30"/>
  <c r="E44" i="30"/>
  <c r="D42" i="39"/>
  <c r="E42" i="39" s="1"/>
  <c r="D45" i="28"/>
  <c r="F52" i="9"/>
  <c r="H52" i="9" s="1"/>
  <c r="B52" i="9"/>
  <c r="D50" i="5"/>
  <c r="E50" i="5"/>
  <c r="D54" i="10"/>
  <c r="D45" i="29"/>
  <c r="E45" i="29"/>
  <c r="D43" i="37"/>
  <c r="E43" i="37" s="1"/>
  <c r="D40" i="43"/>
  <c r="E40" i="43"/>
  <c r="H40" i="41"/>
  <c r="D50" i="3"/>
  <c r="E50" i="3"/>
  <c r="H41" i="39"/>
  <c r="I41" i="39" s="1"/>
  <c r="D48" i="23"/>
  <c r="D53" i="7"/>
  <c r="B41" i="46"/>
  <c r="D52" i="11"/>
  <c r="E52" i="11"/>
  <c r="D51" i="6"/>
  <c r="E51" i="6"/>
  <c r="H42" i="37"/>
  <c r="I42" i="37" s="1"/>
  <c r="D50" i="4"/>
  <c r="D51" i="8"/>
  <c r="D41" i="40"/>
  <c r="E41" i="40"/>
  <c r="G40" i="41"/>
  <c r="D49" i="25"/>
  <c r="E49" i="25"/>
  <c r="D41" i="42"/>
  <c r="E41" i="42" s="1"/>
  <c r="D42" i="38"/>
  <c r="E42" i="38"/>
  <c r="D49" i="22"/>
  <c r="E49" i="22"/>
  <c r="E41" i="46"/>
  <c r="F41" i="46" s="1"/>
  <c r="G123" i="13"/>
  <c r="D124" i="13"/>
  <c r="J122" i="13"/>
  <c r="D52" i="47" l="1"/>
  <c r="E52" i="47" s="1"/>
  <c r="G51" i="47"/>
  <c r="I51" i="47" s="1"/>
  <c r="G41" i="13"/>
  <c r="H41" i="13"/>
  <c r="D42" i="13"/>
  <c r="E45" i="28"/>
  <c r="F45" i="28" s="1"/>
  <c r="H45" i="28" s="1"/>
  <c r="E47" i="24"/>
  <c r="F47" i="24" s="1"/>
  <c r="H47" i="24" s="1"/>
  <c r="E48" i="23"/>
  <c r="F48" i="23" s="1"/>
  <c r="H48" i="23" s="1"/>
  <c r="E54" i="10"/>
  <c r="F54" i="10" s="1"/>
  <c r="G54" i="10" s="1"/>
  <c r="G52" i="9"/>
  <c r="E51" i="8"/>
  <c r="E53" i="7"/>
  <c r="F53" i="7" s="1"/>
  <c r="H53" i="7" s="1"/>
  <c r="E50" i="4"/>
  <c r="F50" i="4" s="1"/>
  <c r="H50" i="4" s="1"/>
  <c r="E42" i="44"/>
  <c r="F42" i="44" s="1"/>
  <c r="B42" i="44"/>
  <c r="I45" i="27"/>
  <c r="F46" i="27"/>
  <c r="H46" i="27" s="1"/>
  <c r="B46" i="27"/>
  <c r="I50" i="8"/>
  <c r="I49" i="4"/>
  <c r="I50" i="6"/>
  <c r="I40" i="41"/>
  <c r="I51" i="11"/>
  <c r="I47" i="23"/>
  <c r="I49" i="3"/>
  <c r="I46" i="24"/>
  <c r="D42" i="46"/>
  <c r="E42" i="46" s="1"/>
  <c r="H41" i="46"/>
  <c r="G41" i="46"/>
  <c r="F41" i="42"/>
  <c r="G41" i="42" s="1"/>
  <c r="B41" i="42"/>
  <c r="B51" i="6"/>
  <c r="F51" i="6"/>
  <c r="H51" i="6" s="1"/>
  <c r="B53" i="7"/>
  <c r="B54" i="10"/>
  <c r="F42" i="39"/>
  <c r="H42" i="39" s="1"/>
  <c r="B42" i="39"/>
  <c r="B50" i="4"/>
  <c r="F50" i="3"/>
  <c r="H50" i="3" s="1"/>
  <c r="B50" i="3"/>
  <c r="I44" i="28"/>
  <c r="B44" i="30"/>
  <c r="F44" i="30"/>
  <c r="H44" i="30" s="1"/>
  <c r="F45" i="31"/>
  <c r="H45" i="31" s="1"/>
  <c r="B45" i="31"/>
  <c r="I41" i="45"/>
  <c r="F49" i="25"/>
  <c r="G49" i="25" s="1"/>
  <c r="B49" i="25"/>
  <c r="B48" i="23"/>
  <c r="B43" i="37"/>
  <c r="F43" i="37"/>
  <c r="H43" i="37" s="1"/>
  <c r="I48" i="22"/>
  <c r="B42" i="38"/>
  <c r="F42" i="38"/>
  <c r="H42" i="38" s="1"/>
  <c r="I48" i="25"/>
  <c r="F51" i="8"/>
  <c r="G51" i="8" s="1"/>
  <c r="B51" i="8"/>
  <c r="I52" i="7"/>
  <c r="B40" i="43"/>
  <c r="F40" i="43"/>
  <c r="G40" i="43" s="1"/>
  <c r="B45" i="29"/>
  <c r="F45" i="29"/>
  <c r="H45" i="29" s="1"/>
  <c r="I53" i="10"/>
  <c r="D53" i="9"/>
  <c r="B45" i="28"/>
  <c r="I43" i="30"/>
  <c r="B42" i="45"/>
  <c r="F49" i="22"/>
  <c r="H49" i="22" s="1"/>
  <c r="B49" i="22"/>
  <c r="B41" i="40"/>
  <c r="F41" i="40"/>
  <c r="G41" i="40" s="1"/>
  <c r="B52" i="11"/>
  <c r="F52" i="11"/>
  <c r="H52" i="11" s="1"/>
  <c r="I44" i="29"/>
  <c r="B50" i="5"/>
  <c r="F50" i="5"/>
  <c r="H50" i="5" s="1"/>
  <c r="B47" i="24"/>
  <c r="I44" i="31"/>
  <c r="F41" i="41"/>
  <c r="H41" i="41" s="1"/>
  <c r="B41" i="41"/>
  <c r="E42" i="45"/>
  <c r="F42" i="45" s="1"/>
  <c r="H123" i="13"/>
  <c r="I123" i="13"/>
  <c r="B124" i="13"/>
  <c r="E124" i="13"/>
  <c r="F124" i="13" s="1"/>
  <c r="F52" i="47" l="1"/>
  <c r="G52" i="47" s="1"/>
  <c r="B52" i="47"/>
  <c r="H52" i="47"/>
  <c r="G53" i="7"/>
  <c r="I41" i="13"/>
  <c r="B42" i="13"/>
  <c r="E42" i="13"/>
  <c r="F42" i="13" s="1"/>
  <c r="G45" i="31"/>
  <c r="G44" i="30"/>
  <c r="G45" i="29"/>
  <c r="G45" i="28"/>
  <c r="G46" i="27"/>
  <c r="H49" i="25"/>
  <c r="G47" i="24"/>
  <c r="G48" i="23"/>
  <c r="G49" i="22"/>
  <c r="G52" i="11"/>
  <c r="H54" i="10"/>
  <c r="E53" i="9"/>
  <c r="F53" i="9" s="1"/>
  <c r="H53" i="9" s="1"/>
  <c r="H51" i="8"/>
  <c r="G51" i="6"/>
  <c r="G50" i="5"/>
  <c r="G50" i="4"/>
  <c r="G50" i="3"/>
  <c r="D43" i="44"/>
  <c r="G42" i="44"/>
  <c r="H42" i="44"/>
  <c r="H41" i="42"/>
  <c r="I41" i="42" s="1"/>
  <c r="G42" i="39"/>
  <c r="I42" i="39" s="1"/>
  <c r="G43" i="37"/>
  <c r="I43" i="37" s="1"/>
  <c r="G41" i="41"/>
  <c r="I41" i="41" s="1"/>
  <c r="G42" i="38"/>
  <c r="I42" i="38" s="1"/>
  <c r="D47" i="27"/>
  <c r="D43" i="45"/>
  <c r="E43" i="45" s="1"/>
  <c r="H42" i="45"/>
  <c r="G42" i="45"/>
  <c r="D42" i="40"/>
  <c r="E42" i="40"/>
  <c r="D50" i="22"/>
  <c r="E50" i="22"/>
  <c r="D46" i="28"/>
  <c r="E46" i="28"/>
  <c r="D49" i="23"/>
  <c r="I41" i="46"/>
  <c r="D51" i="4"/>
  <c r="D48" i="24"/>
  <c r="D53" i="11"/>
  <c r="B53" i="9"/>
  <c r="D41" i="43"/>
  <c r="E41" i="43" s="1"/>
  <c r="D43" i="38"/>
  <c r="E43" i="38"/>
  <c r="D44" i="37"/>
  <c r="E44" i="37" s="1"/>
  <c r="D46" i="31"/>
  <c r="E46" i="31"/>
  <c r="D52" i="6"/>
  <c r="D54" i="7"/>
  <c r="D42" i="41"/>
  <c r="E42" i="41"/>
  <c r="D51" i="5"/>
  <c r="E51" i="5"/>
  <c r="H41" i="40"/>
  <c r="I41" i="40" s="1"/>
  <c r="I52" i="9"/>
  <c r="D46" i="29"/>
  <c r="H40" i="43"/>
  <c r="I40" i="43" s="1"/>
  <c r="D52" i="8"/>
  <c r="D50" i="25"/>
  <c r="E50" i="25"/>
  <c r="D45" i="30"/>
  <c r="E45" i="30"/>
  <c r="D51" i="3"/>
  <c r="E51" i="3"/>
  <c r="D43" i="39"/>
  <c r="E43" i="39" s="1"/>
  <c r="D55" i="10"/>
  <c r="D42" i="42"/>
  <c r="E42" i="42"/>
  <c r="B42" i="46"/>
  <c r="F42" i="46"/>
  <c r="G42" i="46" s="1"/>
  <c r="J123" i="13"/>
  <c r="G124" i="13"/>
  <c r="D125" i="13"/>
  <c r="E125" i="13" s="1"/>
  <c r="I52" i="47" l="1"/>
  <c r="D53" i="47"/>
  <c r="G42" i="13"/>
  <c r="D43" i="13"/>
  <c r="H42" i="13"/>
  <c r="E46" i="29"/>
  <c r="F46" i="29" s="1"/>
  <c r="H46" i="29" s="1"/>
  <c r="E48" i="24"/>
  <c r="F48" i="24" s="1"/>
  <c r="H48" i="24" s="1"/>
  <c r="E49" i="23"/>
  <c r="F49" i="23" s="1"/>
  <c r="H49" i="23" s="1"/>
  <c r="E53" i="11"/>
  <c r="F53" i="11" s="1"/>
  <c r="H53" i="11" s="1"/>
  <c r="E55" i="10"/>
  <c r="F55" i="10" s="1"/>
  <c r="H55" i="10" s="1"/>
  <c r="G53" i="9"/>
  <c r="E52" i="8"/>
  <c r="F52" i="8" s="1"/>
  <c r="H52" i="8" s="1"/>
  <c r="E54" i="7"/>
  <c r="F54" i="7" s="1"/>
  <c r="H54" i="7" s="1"/>
  <c r="E52" i="6"/>
  <c r="F52" i="6" s="1"/>
  <c r="H52" i="6" s="1"/>
  <c r="E51" i="4"/>
  <c r="I42" i="44"/>
  <c r="E43" i="44"/>
  <c r="F43" i="44" s="1"/>
  <c r="B43" i="44"/>
  <c r="I45" i="28"/>
  <c r="I49" i="22"/>
  <c r="I53" i="7"/>
  <c r="I45" i="29"/>
  <c r="I45" i="31"/>
  <c r="I48" i="23"/>
  <c r="I46" i="27"/>
  <c r="H42" i="46"/>
  <c r="I42" i="46" s="1"/>
  <c r="B47" i="27"/>
  <c r="E47" i="27"/>
  <c r="F47" i="27" s="1"/>
  <c r="H47" i="27" s="1"/>
  <c r="I44" i="30"/>
  <c r="I49" i="25"/>
  <c r="I51" i="8"/>
  <c r="B43" i="39"/>
  <c r="F43" i="39"/>
  <c r="G43" i="39" s="1"/>
  <c r="B52" i="8"/>
  <c r="B46" i="29"/>
  <c r="B43" i="38"/>
  <c r="F43" i="38"/>
  <c r="B48" i="24"/>
  <c r="I50" i="4"/>
  <c r="I42" i="45"/>
  <c r="B46" i="31"/>
  <c r="F46" i="31"/>
  <c r="H46" i="31" s="1"/>
  <c r="D54" i="9"/>
  <c r="D43" i="46"/>
  <c r="E43" i="46" s="1"/>
  <c r="B55" i="10"/>
  <c r="B54" i="7"/>
  <c r="B52" i="6"/>
  <c r="B44" i="37"/>
  <c r="F44" i="37"/>
  <c r="H44" i="37" s="1"/>
  <c r="B49" i="23"/>
  <c r="B46" i="28"/>
  <c r="F46" i="28"/>
  <c r="G46" i="28" s="1"/>
  <c r="F42" i="40"/>
  <c r="G42" i="40" s="1"/>
  <c r="B42" i="40"/>
  <c r="F51" i="3"/>
  <c r="H51" i="3" s="1"/>
  <c r="B51" i="3"/>
  <c r="B51" i="5"/>
  <c r="F51" i="5"/>
  <c r="H51" i="5" s="1"/>
  <c r="B53" i="11"/>
  <c r="F50" i="22"/>
  <c r="H50" i="22" s="1"/>
  <c r="B50" i="22"/>
  <c r="B42" i="42"/>
  <c r="F42" i="42"/>
  <c r="G42" i="42" s="1"/>
  <c r="I54" i="10"/>
  <c r="I50" i="3"/>
  <c r="B45" i="30"/>
  <c r="F45" i="30"/>
  <c r="H45" i="30" s="1"/>
  <c r="F50" i="25"/>
  <c r="H50" i="25" s="1"/>
  <c r="B50" i="25"/>
  <c r="B42" i="41"/>
  <c r="F42" i="41"/>
  <c r="I51" i="6"/>
  <c r="B41" i="43"/>
  <c r="F41" i="43"/>
  <c r="H41" i="43" s="1"/>
  <c r="I52" i="11"/>
  <c r="I47" i="24"/>
  <c r="B51" i="4"/>
  <c r="F51" i="4"/>
  <c r="H51" i="4" s="1"/>
  <c r="B43" i="45"/>
  <c r="F43" i="45"/>
  <c r="H43" i="45" s="1"/>
  <c r="B125" i="13"/>
  <c r="F125" i="13"/>
  <c r="I124" i="13"/>
  <c r="H124" i="13"/>
  <c r="B53" i="47" l="1"/>
  <c r="E53" i="47"/>
  <c r="F53" i="47" s="1"/>
  <c r="I42" i="13"/>
  <c r="G52" i="8"/>
  <c r="B43" i="13"/>
  <c r="E43" i="13"/>
  <c r="F43" i="13" s="1"/>
  <c r="G46" i="31"/>
  <c r="G45" i="30"/>
  <c r="G46" i="29"/>
  <c r="H46" i="28"/>
  <c r="G47" i="27"/>
  <c r="G50" i="25"/>
  <c r="G48" i="24"/>
  <c r="G49" i="23"/>
  <c r="G50" i="22"/>
  <c r="G53" i="11"/>
  <c r="G55" i="10"/>
  <c r="E54" i="9"/>
  <c r="F54" i="9" s="1"/>
  <c r="H54" i="9" s="1"/>
  <c r="G54" i="7"/>
  <c r="G52" i="6"/>
  <c r="G51" i="5"/>
  <c r="G51" i="4"/>
  <c r="G51" i="3"/>
  <c r="G43" i="44"/>
  <c r="D44" i="44"/>
  <c r="H43" i="44"/>
  <c r="G41" i="43"/>
  <c r="I41" i="43" s="1"/>
  <c r="D48" i="27"/>
  <c r="G43" i="45"/>
  <c r="I43" i="45" s="1"/>
  <c r="D43" i="41"/>
  <c r="E43" i="41"/>
  <c r="D55" i="7"/>
  <c r="E55" i="7"/>
  <c r="D44" i="38"/>
  <c r="E44" i="38" s="1"/>
  <c r="H42" i="41"/>
  <c r="D46" i="30"/>
  <c r="E46" i="30"/>
  <c r="H42" i="42"/>
  <c r="I42" i="42" s="1"/>
  <c r="D54" i="11"/>
  <c r="E54" i="11"/>
  <c r="D52" i="3"/>
  <c r="E52" i="3"/>
  <c r="D43" i="40"/>
  <c r="E43" i="40"/>
  <c r="D50" i="23"/>
  <c r="G44" i="37"/>
  <c r="I44" i="37" s="1"/>
  <c r="I53" i="9"/>
  <c r="G43" i="38"/>
  <c r="D44" i="39"/>
  <c r="E44" i="39"/>
  <c r="D51" i="25"/>
  <c r="E51" i="25"/>
  <c r="F43" i="46"/>
  <c r="H43" i="46" s="1"/>
  <c r="B43" i="46"/>
  <c r="D47" i="29"/>
  <c r="D44" i="45"/>
  <c r="D52" i="4"/>
  <c r="D42" i="43"/>
  <c r="E42" i="43"/>
  <c r="D52" i="5"/>
  <c r="E52" i="5"/>
  <c r="H42" i="40"/>
  <c r="I42" i="40" s="1"/>
  <c r="D47" i="28"/>
  <c r="E47" i="28"/>
  <c r="D56" i="10"/>
  <c r="D47" i="31"/>
  <c r="E47" i="31"/>
  <c r="D49" i="24"/>
  <c r="E49" i="24"/>
  <c r="H43" i="39"/>
  <c r="I43" i="39" s="1"/>
  <c r="G42" i="41"/>
  <c r="D43" i="42"/>
  <c r="E43" i="42"/>
  <c r="D51" i="22"/>
  <c r="E51" i="22"/>
  <c r="D45" i="37"/>
  <c r="E45" i="37" s="1"/>
  <c r="D53" i="6"/>
  <c r="B54" i="9"/>
  <c r="H43" i="38"/>
  <c r="D53" i="8"/>
  <c r="E53" i="8"/>
  <c r="D126" i="13"/>
  <c r="G125" i="13"/>
  <c r="J124" i="13"/>
  <c r="D54" i="47" l="1"/>
  <c r="E54" i="47" s="1"/>
  <c r="H53" i="47"/>
  <c r="G53" i="47"/>
  <c r="G43" i="13"/>
  <c r="H43" i="13"/>
  <c r="D44" i="13"/>
  <c r="E47" i="29"/>
  <c r="F47" i="29" s="1"/>
  <c r="G47" i="29" s="1"/>
  <c r="E50" i="23"/>
  <c r="E56" i="10"/>
  <c r="G54" i="9"/>
  <c r="E53" i="6"/>
  <c r="F53" i="6" s="1"/>
  <c r="H53" i="6" s="1"/>
  <c r="E52" i="4"/>
  <c r="I43" i="44"/>
  <c r="B44" i="44"/>
  <c r="E44" i="44"/>
  <c r="F44" i="44" s="1"/>
  <c r="H44" i="44" s="1"/>
  <c r="I43" i="38"/>
  <c r="I49" i="23"/>
  <c r="I51" i="4"/>
  <c r="I54" i="7"/>
  <c r="I48" i="24"/>
  <c r="B48" i="27"/>
  <c r="I47" i="27"/>
  <c r="I52" i="6"/>
  <c r="I46" i="31"/>
  <c r="I46" i="29"/>
  <c r="E48" i="27"/>
  <c r="F48" i="27" s="1"/>
  <c r="G48" i="27" s="1"/>
  <c r="B53" i="6"/>
  <c r="F52" i="5"/>
  <c r="H52" i="5" s="1"/>
  <c r="B52" i="5"/>
  <c r="I52" i="8"/>
  <c r="B43" i="42"/>
  <c r="F43" i="42"/>
  <c r="G43" i="42" s="1"/>
  <c r="F56" i="10"/>
  <c r="G56" i="10" s="1"/>
  <c r="B56" i="10"/>
  <c r="F52" i="4"/>
  <c r="H52" i="4" s="1"/>
  <c r="B52" i="4"/>
  <c r="I42" i="41"/>
  <c r="D55" i="9"/>
  <c r="E55" i="9"/>
  <c r="F44" i="38"/>
  <c r="G44" i="38" s="1"/>
  <c r="B44" i="38"/>
  <c r="B53" i="8"/>
  <c r="F53" i="8"/>
  <c r="H53" i="8" s="1"/>
  <c r="F51" i="22"/>
  <c r="H51" i="22" s="1"/>
  <c r="B51" i="22"/>
  <c r="F47" i="31"/>
  <c r="G47" i="31" s="1"/>
  <c r="B47" i="31"/>
  <c r="I55" i="10"/>
  <c r="F47" i="28"/>
  <c r="H47" i="28" s="1"/>
  <c r="B47" i="28"/>
  <c r="B44" i="45"/>
  <c r="D44" i="46"/>
  <c r="E44" i="46" s="1"/>
  <c r="F51" i="25"/>
  <c r="G51" i="25" s="1"/>
  <c r="B51" i="25"/>
  <c r="B44" i="39"/>
  <c r="F44" i="39"/>
  <c r="G44" i="39" s="1"/>
  <c r="F52" i="3"/>
  <c r="H52" i="3" s="1"/>
  <c r="B52" i="3"/>
  <c r="B54" i="11"/>
  <c r="F54" i="11"/>
  <c r="H54" i="11" s="1"/>
  <c r="F46" i="30"/>
  <c r="H46" i="30" s="1"/>
  <c r="B46" i="30"/>
  <c r="F43" i="41"/>
  <c r="G43" i="41" s="1"/>
  <c r="B43" i="41"/>
  <c r="F49" i="24"/>
  <c r="G49" i="24" s="1"/>
  <c r="B49" i="24"/>
  <c r="F50" i="23"/>
  <c r="H50" i="23" s="1"/>
  <c r="B50" i="23"/>
  <c r="B45" i="37"/>
  <c r="F45" i="37"/>
  <c r="H45" i="37" s="1"/>
  <c r="I50" i="22"/>
  <c r="I46" i="28"/>
  <c r="B42" i="43"/>
  <c r="F42" i="43"/>
  <c r="G42" i="43" s="1"/>
  <c r="E44" i="45"/>
  <c r="F44" i="45" s="1"/>
  <c r="B47" i="29"/>
  <c r="G43" i="46"/>
  <c r="I43" i="46" s="1"/>
  <c r="I50" i="25"/>
  <c r="F43" i="40"/>
  <c r="G43" i="40" s="1"/>
  <c r="B43" i="40"/>
  <c r="I51" i="3"/>
  <c r="I53" i="11"/>
  <c r="I45" i="30"/>
  <c r="B55" i="7"/>
  <c r="F55" i="7"/>
  <c r="H55" i="7" s="1"/>
  <c r="I125" i="13"/>
  <c r="H125" i="13"/>
  <c r="B126" i="13"/>
  <c r="E126" i="13"/>
  <c r="F126" i="13" s="1"/>
  <c r="I53" i="47" l="1"/>
  <c r="B54" i="47"/>
  <c r="F54" i="47"/>
  <c r="I43" i="13"/>
  <c r="B44" i="13"/>
  <c r="E44" i="13"/>
  <c r="F44" i="13" s="1"/>
  <c r="H47" i="31"/>
  <c r="G46" i="30"/>
  <c r="H47" i="29"/>
  <c r="G47" i="28"/>
  <c r="H48" i="27"/>
  <c r="H51" i="25"/>
  <c r="H49" i="24"/>
  <c r="G50" i="23"/>
  <c r="G51" i="22"/>
  <c r="G54" i="11"/>
  <c r="H56" i="10"/>
  <c r="G53" i="8"/>
  <c r="G55" i="7"/>
  <c r="G53" i="6"/>
  <c r="G52" i="5"/>
  <c r="G52" i="4"/>
  <c r="G52" i="3"/>
  <c r="G44" i="44"/>
  <c r="I44" i="44" s="1"/>
  <c r="D45" i="44"/>
  <c r="I54" i="9"/>
  <c r="H43" i="41"/>
  <c r="I43" i="41" s="1"/>
  <c r="H43" i="42"/>
  <c r="I43" i="42" s="1"/>
  <c r="D49" i="27"/>
  <c r="E49" i="27"/>
  <c r="H44" i="38"/>
  <c r="I44" i="38" s="1"/>
  <c r="H44" i="39"/>
  <c r="I44" i="39" s="1"/>
  <c r="D45" i="45"/>
  <c r="E45" i="45" s="1"/>
  <c r="H44" i="45"/>
  <c r="G44" i="45"/>
  <c r="D52" i="22"/>
  <c r="D44" i="40"/>
  <c r="E44" i="40"/>
  <c r="D43" i="43"/>
  <c r="E43" i="43" s="1"/>
  <c r="D46" i="37"/>
  <c r="E46" i="37"/>
  <c r="D51" i="23"/>
  <c r="E51" i="23"/>
  <c r="D47" i="30"/>
  <c r="D53" i="3"/>
  <c r="E53" i="3"/>
  <c r="B44" i="46"/>
  <c r="F44" i="46"/>
  <c r="G44" i="46" s="1"/>
  <c r="D54" i="8"/>
  <c r="E54" i="8"/>
  <c r="D45" i="38"/>
  <c r="E45" i="38" s="1"/>
  <c r="D57" i="10"/>
  <c r="D54" i="6"/>
  <c r="D55" i="11"/>
  <c r="E55" i="11"/>
  <c r="D45" i="39"/>
  <c r="E45" i="39" s="1"/>
  <c r="D48" i="31"/>
  <c r="D53" i="5"/>
  <c r="D56" i="7"/>
  <c r="E56" i="7"/>
  <c r="H43" i="40"/>
  <c r="I43" i="40" s="1"/>
  <c r="D48" i="29"/>
  <c r="H42" i="43"/>
  <c r="I42" i="43" s="1"/>
  <c r="G45" i="37"/>
  <c r="I45" i="37" s="1"/>
  <c r="D50" i="24"/>
  <c r="D44" i="41"/>
  <c r="E44" i="41"/>
  <c r="D52" i="25"/>
  <c r="E52" i="25"/>
  <c r="D48" i="28"/>
  <c r="E48" i="28"/>
  <c r="F55" i="9"/>
  <c r="H55" i="9" s="1"/>
  <c r="B55" i="9"/>
  <c r="D53" i="4"/>
  <c r="D44" i="42"/>
  <c r="E44" i="42"/>
  <c r="J125" i="13"/>
  <c r="D127" i="13"/>
  <c r="G126" i="13"/>
  <c r="D55" i="47" l="1"/>
  <c r="E55" i="47" s="1"/>
  <c r="G54" i="47"/>
  <c r="H54" i="47"/>
  <c r="G44" i="13"/>
  <c r="H44" i="13"/>
  <c r="D45" i="13"/>
  <c r="E48" i="31"/>
  <c r="F48" i="31" s="1"/>
  <c r="G48" i="31" s="1"/>
  <c r="E47" i="30"/>
  <c r="F47" i="30" s="1"/>
  <c r="H47" i="30" s="1"/>
  <c r="E48" i="29"/>
  <c r="F48" i="29" s="1"/>
  <c r="H48" i="29" s="1"/>
  <c r="E50" i="24"/>
  <c r="F50" i="24" s="1"/>
  <c r="H50" i="24" s="1"/>
  <c r="E52" i="22"/>
  <c r="F52" i="22" s="1"/>
  <c r="H52" i="22" s="1"/>
  <c r="E57" i="10"/>
  <c r="F57" i="10" s="1"/>
  <c r="H57" i="10" s="1"/>
  <c r="G55" i="9"/>
  <c r="E54" i="6"/>
  <c r="F54" i="6" s="1"/>
  <c r="H54" i="6" s="1"/>
  <c r="E53" i="5"/>
  <c r="F53" i="5" s="1"/>
  <c r="H53" i="5" s="1"/>
  <c r="E53" i="4"/>
  <c r="E45" i="44"/>
  <c r="F45" i="44" s="1"/>
  <c r="H45" i="44" s="1"/>
  <c r="B45" i="44"/>
  <c r="I50" i="23"/>
  <c r="I51" i="22"/>
  <c r="I48" i="27"/>
  <c r="I47" i="28"/>
  <c r="I51" i="25"/>
  <c r="I52" i="4"/>
  <c r="H44" i="46"/>
  <c r="I44" i="46" s="1"/>
  <c r="F49" i="27"/>
  <c r="H49" i="27" s="1"/>
  <c r="B49" i="27"/>
  <c r="I47" i="29"/>
  <c r="I54" i="11"/>
  <c r="I46" i="30"/>
  <c r="B44" i="41"/>
  <c r="F44" i="41"/>
  <c r="G44" i="41" s="1"/>
  <c r="B45" i="38"/>
  <c r="F45" i="38"/>
  <c r="G45" i="38" s="1"/>
  <c r="D56" i="9"/>
  <c r="B50" i="24"/>
  <c r="B48" i="29"/>
  <c r="B53" i="5"/>
  <c r="I47" i="31"/>
  <c r="B45" i="39"/>
  <c r="F45" i="39"/>
  <c r="H45" i="39" s="1"/>
  <c r="B54" i="6"/>
  <c r="I56" i="10"/>
  <c r="D45" i="46"/>
  <c r="E45" i="46" s="1"/>
  <c r="B52" i="22"/>
  <c r="I44" i="45"/>
  <c r="F48" i="28"/>
  <c r="G48" i="28" s="1"/>
  <c r="B48" i="28"/>
  <c r="B57" i="10"/>
  <c r="B47" i="30"/>
  <c r="B43" i="43"/>
  <c r="F43" i="43"/>
  <c r="G43" i="43" s="1"/>
  <c r="B53" i="4"/>
  <c r="F53" i="4"/>
  <c r="G53" i="4" s="1"/>
  <c r="I49" i="24"/>
  <c r="I55" i="7"/>
  <c r="I53" i="6"/>
  <c r="B54" i="8"/>
  <c r="F54" i="8"/>
  <c r="H54" i="8" s="1"/>
  <c r="I52" i="3"/>
  <c r="F51" i="23"/>
  <c r="G51" i="23" s="1"/>
  <c r="B51" i="23"/>
  <c r="B46" i="37"/>
  <c r="F46" i="37"/>
  <c r="G46" i="37" s="1"/>
  <c r="B44" i="40"/>
  <c r="F44" i="40"/>
  <c r="H44" i="40" s="1"/>
  <c r="F52" i="25"/>
  <c r="H52" i="25" s="1"/>
  <c r="B52" i="25"/>
  <c r="F56" i="7"/>
  <c r="H56" i="7" s="1"/>
  <c r="B56" i="7"/>
  <c r="F44" i="42"/>
  <c r="H44" i="42" s="1"/>
  <c r="B44" i="42"/>
  <c r="B48" i="31"/>
  <c r="F55" i="11"/>
  <c r="G55" i="11" s="1"/>
  <c r="B55" i="11"/>
  <c r="I53" i="8"/>
  <c r="F53" i="3"/>
  <c r="H53" i="3" s="1"/>
  <c r="B53" i="3"/>
  <c r="F45" i="45"/>
  <c r="H45" i="45" s="1"/>
  <c r="B45" i="45"/>
  <c r="B127" i="13"/>
  <c r="H126" i="13"/>
  <c r="I126" i="13"/>
  <c r="E127" i="13"/>
  <c r="F127" i="13" s="1"/>
  <c r="I44" i="13" l="1"/>
  <c r="I54" i="47"/>
  <c r="F55" i="47"/>
  <c r="H55" i="47" s="1"/>
  <c r="B55" i="47"/>
  <c r="E45" i="13"/>
  <c r="F45" i="13" s="1"/>
  <c r="D46" i="13" s="1"/>
  <c r="E46" i="13" s="1"/>
  <c r="B45" i="13"/>
  <c r="H48" i="31"/>
  <c r="G47" i="30"/>
  <c r="G48" i="29"/>
  <c r="H48" i="28"/>
  <c r="G49" i="27"/>
  <c r="G52" i="25"/>
  <c r="G50" i="24"/>
  <c r="H51" i="23"/>
  <c r="G52" i="22"/>
  <c r="H55" i="11"/>
  <c r="G57" i="10"/>
  <c r="E56" i="9"/>
  <c r="F56" i="9" s="1"/>
  <c r="H56" i="9" s="1"/>
  <c r="G54" i="8"/>
  <c r="G56" i="7"/>
  <c r="G54" i="6"/>
  <c r="G53" i="5"/>
  <c r="H53" i="4"/>
  <c r="G53" i="3"/>
  <c r="G45" i="39"/>
  <c r="I45" i="39" s="1"/>
  <c r="G44" i="42"/>
  <c r="I44" i="42" s="1"/>
  <c r="G45" i="44"/>
  <c r="I45" i="44" s="1"/>
  <c r="D46" i="44"/>
  <c r="H46" i="37"/>
  <c r="G45" i="45"/>
  <c r="I45" i="45" s="1"/>
  <c r="H43" i="43"/>
  <c r="I43" i="43" s="1"/>
  <c r="D50" i="27"/>
  <c r="I55" i="9"/>
  <c r="D48" i="30"/>
  <c r="D49" i="28"/>
  <c r="D55" i="6"/>
  <c r="D56" i="11"/>
  <c r="D57" i="7"/>
  <c r="D45" i="40"/>
  <c r="E45" i="40"/>
  <c r="I46" i="37"/>
  <c r="D52" i="23"/>
  <c r="D54" i="4"/>
  <c r="D58" i="10"/>
  <c r="D46" i="38"/>
  <c r="E46" i="38"/>
  <c r="D45" i="41"/>
  <c r="E45" i="41"/>
  <c r="D55" i="8"/>
  <c r="E55" i="8"/>
  <c r="B56" i="9"/>
  <c r="D54" i="3"/>
  <c r="E54" i="3"/>
  <c r="D45" i="42"/>
  <c r="E45" i="42" s="1"/>
  <c r="G44" i="40"/>
  <c r="I44" i="40" s="1"/>
  <c r="D47" i="37"/>
  <c r="E47" i="37" s="1"/>
  <c r="D46" i="39"/>
  <c r="E46" i="39"/>
  <c r="D54" i="5"/>
  <c r="D51" i="24"/>
  <c r="H44" i="41"/>
  <c r="I44" i="41" s="1"/>
  <c r="B45" i="46"/>
  <c r="F45" i="46"/>
  <c r="D49" i="29"/>
  <c r="D46" i="45"/>
  <c r="D49" i="31"/>
  <c r="D53" i="25"/>
  <c r="D44" i="43"/>
  <c r="E44" i="43" s="1"/>
  <c r="D53" i="22"/>
  <c r="H45" i="38"/>
  <c r="I45" i="38" s="1"/>
  <c r="F46" i="13"/>
  <c r="G46" i="13" s="1"/>
  <c r="B46" i="13"/>
  <c r="J126" i="13"/>
  <c r="G127" i="13"/>
  <c r="D128" i="13"/>
  <c r="E128" i="13" s="1"/>
  <c r="G45" i="13" l="1"/>
  <c r="G55" i="47"/>
  <c r="H45" i="13"/>
  <c r="I55" i="47"/>
  <c r="D56" i="47"/>
  <c r="E56" i="47" s="1"/>
  <c r="H46" i="13"/>
  <c r="I45" i="13"/>
  <c r="E49" i="31"/>
  <c r="F49" i="31" s="1"/>
  <c r="H49" i="31" s="1"/>
  <c r="E48" i="30"/>
  <c r="F48" i="30" s="1"/>
  <c r="H48" i="30" s="1"/>
  <c r="E49" i="29"/>
  <c r="F49" i="29" s="1"/>
  <c r="H49" i="29" s="1"/>
  <c r="E49" i="28"/>
  <c r="E53" i="25"/>
  <c r="F53" i="25" s="1"/>
  <c r="G53" i="25" s="1"/>
  <c r="E51" i="24"/>
  <c r="F51" i="24" s="1"/>
  <c r="H51" i="24" s="1"/>
  <c r="E52" i="23"/>
  <c r="F52" i="23" s="1"/>
  <c r="H52" i="23" s="1"/>
  <c r="E53" i="22"/>
  <c r="F53" i="22" s="1"/>
  <c r="H53" i="22" s="1"/>
  <c r="E56" i="11"/>
  <c r="E58" i="10"/>
  <c r="F58" i="10" s="1"/>
  <c r="H58" i="10" s="1"/>
  <c r="G56" i="9"/>
  <c r="E57" i="7"/>
  <c r="F57" i="7" s="1"/>
  <c r="H57" i="7" s="1"/>
  <c r="E55" i="6"/>
  <c r="F55" i="6" s="1"/>
  <c r="H55" i="6" s="1"/>
  <c r="E54" i="5"/>
  <c r="F54" i="5" s="1"/>
  <c r="H54" i="5" s="1"/>
  <c r="E54" i="4"/>
  <c r="F54" i="4" s="1"/>
  <c r="H54" i="4" s="1"/>
  <c r="E46" i="44"/>
  <c r="F46" i="44" s="1"/>
  <c r="B46" i="44"/>
  <c r="I47" i="30"/>
  <c r="I48" i="31"/>
  <c r="I52" i="25"/>
  <c r="I46" i="13"/>
  <c r="I51" i="23"/>
  <c r="B50" i="27"/>
  <c r="I53" i="3"/>
  <c r="I49" i="27"/>
  <c r="I50" i="24"/>
  <c r="I54" i="8"/>
  <c r="E50" i="27"/>
  <c r="F50" i="27" s="1"/>
  <c r="G50" i="27" s="1"/>
  <c r="B49" i="31"/>
  <c r="D46" i="46"/>
  <c r="D57" i="9"/>
  <c r="F55" i="8"/>
  <c r="G55" i="8" s="1"/>
  <c r="B55" i="8"/>
  <c r="F45" i="41"/>
  <c r="B45" i="41"/>
  <c r="B54" i="4"/>
  <c r="F45" i="40"/>
  <c r="G45" i="40" s="1"/>
  <c r="B45" i="40"/>
  <c r="B57" i="7"/>
  <c r="B49" i="29"/>
  <c r="I52" i="22"/>
  <c r="B46" i="45"/>
  <c r="G45" i="46"/>
  <c r="F46" i="39"/>
  <c r="B46" i="39"/>
  <c r="B54" i="3"/>
  <c r="F54" i="3"/>
  <c r="H54" i="3" s="1"/>
  <c r="I57" i="10"/>
  <c r="F56" i="11"/>
  <c r="H56" i="11" s="1"/>
  <c r="B56" i="11"/>
  <c r="B55" i="6"/>
  <c r="B49" i="28"/>
  <c r="F49" i="28"/>
  <c r="H49" i="28" s="1"/>
  <c r="D47" i="13"/>
  <c r="E47" i="13" s="1"/>
  <c r="E46" i="45"/>
  <c r="F46" i="45" s="1"/>
  <c r="I48" i="29"/>
  <c r="B51" i="24"/>
  <c r="B47" i="37"/>
  <c r="F47" i="37"/>
  <c r="H47" i="37" s="1"/>
  <c r="F45" i="42"/>
  <c r="G45" i="42" s="1"/>
  <c r="B45" i="42"/>
  <c r="F46" i="38"/>
  <c r="H46" i="38" s="1"/>
  <c r="B46" i="38"/>
  <c r="I53" i="4"/>
  <c r="I56" i="7"/>
  <c r="B53" i="22"/>
  <c r="F44" i="43"/>
  <c r="B44" i="43"/>
  <c r="B53" i="25"/>
  <c r="H45" i="46"/>
  <c r="B54" i="5"/>
  <c r="B58" i="10"/>
  <c r="B52" i="23"/>
  <c r="I55" i="11"/>
  <c r="I54" i="6"/>
  <c r="I48" i="28"/>
  <c r="B48" i="30"/>
  <c r="F128" i="13"/>
  <c r="B128" i="13"/>
  <c r="H127" i="13"/>
  <c r="I127" i="13"/>
  <c r="F56" i="47" l="1"/>
  <c r="G56" i="47" s="1"/>
  <c r="B56" i="47"/>
  <c r="H56" i="47"/>
  <c r="G51" i="24"/>
  <c r="G54" i="4"/>
  <c r="G49" i="31"/>
  <c r="G48" i="30"/>
  <c r="G49" i="29"/>
  <c r="G49" i="28"/>
  <c r="H50" i="27"/>
  <c r="H53" i="25"/>
  <c r="G52" i="23"/>
  <c r="G53" i="22"/>
  <c r="G56" i="11"/>
  <c r="G58" i="10"/>
  <c r="E57" i="9"/>
  <c r="H55" i="8"/>
  <c r="G57" i="7"/>
  <c r="G55" i="6"/>
  <c r="G54" i="5"/>
  <c r="G54" i="3"/>
  <c r="H46" i="44"/>
  <c r="D47" i="44"/>
  <c r="G46" i="44"/>
  <c r="G47" i="37"/>
  <c r="I47" i="37" s="1"/>
  <c r="I45" i="46"/>
  <c r="D51" i="27"/>
  <c r="D47" i="45"/>
  <c r="E47" i="45" s="1"/>
  <c r="H46" i="45"/>
  <c r="G46" i="45"/>
  <c r="D49" i="30"/>
  <c r="E49" i="30"/>
  <c r="D54" i="25"/>
  <c r="E54" i="25"/>
  <c r="D45" i="43"/>
  <c r="E45" i="43"/>
  <c r="D50" i="28"/>
  <c r="D55" i="3"/>
  <c r="D47" i="39"/>
  <c r="E47" i="39"/>
  <c r="D50" i="29"/>
  <c r="E50" i="29"/>
  <c r="D46" i="41"/>
  <c r="E46" i="41"/>
  <c r="B46" i="46"/>
  <c r="D53" i="23"/>
  <c r="E53" i="23"/>
  <c r="H44" i="43"/>
  <c r="D47" i="38"/>
  <c r="E47" i="38"/>
  <c r="D46" i="42"/>
  <c r="E46" i="42"/>
  <c r="D57" i="11"/>
  <c r="E57" i="11"/>
  <c r="H46" i="39"/>
  <c r="D55" i="4"/>
  <c r="G45" i="41"/>
  <c r="E46" i="46"/>
  <c r="F46" i="46" s="1"/>
  <c r="D55" i="5"/>
  <c r="G44" i="43"/>
  <c r="D54" i="22"/>
  <c r="E54" i="22"/>
  <c r="H45" i="42"/>
  <c r="I45" i="42" s="1"/>
  <c r="D52" i="24"/>
  <c r="D56" i="6"/>
  <c r="G46" i="39"/>
  <c r="D58" i="7"/>
  <c r="D46" i="40"/>
  <c r="E46" i="40"/>
  <c r="H45" i="41"/>
  <c r="I56" i="9"/>
  <c r="D59" i="10"/>
  <c r="G46" i="38"/>
  <c r="I46" i="38" s="1"/>
  <c r="D48" i="37"/>
  <c r="E48" i="37" s="1"/>
  <c r="B47" i="13"/>
  <c r="F47" i="13"/>
  <c r="G47" i="13" s="1"/>
  <c r="H45" i="40"/>
  <c r="I45" i="40" s="1"/>
  <c r="D56" i="8"/>
  <c r="E56" i="8"/>
  <c r="F57" i="9"/>
  <c r="H57" i="9" s="1"/>
  <c r="B57" i="9"/>
  <c r="D50" i="31"/>
  <c r="J127" i="13"/>
  <c r="G128" i="13"/>
  <c r="D129" i="13"/>
  <c r="E129" i="13" s="1"/>
  <c r="I56" i="47" l="1"/>
  <c r="D57" i="47"/>
  <c r="E50" i="31"/>
  <c r="E50" i="28"/>
  <c r="F50" i="28" s="1"/>
  <c r="G50" i="28" s="1"/>
  <c r="E52" i="24"/>
  <c r="E59" i="10"/>
  <c r="F59" i="10" s="1"/>
  <c r="G59" i="10" s="1"/>
  <c r="G57" i="9"/>
  <c r="E58" i="7"/>
  <c r="F58" i="7" s="1"/>
  <c r="H58" i="7" s="1"/>
  <c r="E56" i="6"/>
  <c r="F56" i="6" s="1"/>
  <c r="H56" i="6" s="1"/>
  <c r="E55" i="5"/>
  <c r="F55" i="5" s="1"/>
  <c r="H55" i="5" s="1"/>
  <c r="E55" i="4"/>
  <c r="E55" i="3"/>
  <c r="F55" i="3" s="1"/>
  <c r="H55" i="3" s="1"/>
  <c r="I53" i="25"/>
  <c r="I48" i="30"/>
  <c r="E47" i="44"/>
  <c r="F47" i="44" s="1"/>
  <c r="B47" i="44"/>
  <c r="I46" i="44"/>
  <c r="I55" i="8"/>
  <c r="B51" i="27"/>
  <c r="E51" i="27"/>
  <c r="F51" i="27" s="1"/>
  <c r="H51" i="27" s="1"/>
  <c r="I49" i="31"/>
  <c r="I52" i="23"/>
  <c r="I45" i="41"/>
  <c r="I57" i="7"/>
  <c r="I53" i="22"/>
  <c r="I49" i="29"/>
  <c r="I49" i="28"/>
  <c r="I50" i="27"/>
  <c r="D47" i="46"/>
  <c r="E47" i="46" s="1"/>
  <c r="H46" i="46"/>
  <c r="G46" i="46"/>
  <c r="F50" i="31"/>
  <c r="G50" i="31" s="1"/>
  <c r="B50" i="31"/>
  <c r="H47" i="13"/>
  <c r="I47" i="13" s="1"/>
  <c r="I58" i="10"/>
  <c r="F46" i="41"/>
  <c r="G46" i="41" s="1"/>
  <c r="B46" i="41"/>
  <c r="F45" i="43"/>
  <c r="G45" i="43" s="1"/>
  <c r="B45" i="43"/>
  <c r="F54" i="25"/>
  <c r="H54" i="25" s="1"/>
  <c r="B54" i="25"/>
  <c r="F49" i="30"/>
  <c r="H49" i="30" s="1"/>
  <c r="B49" i="30"/>
  <c r="B56" i="8"/>
  <c r="F56" i="8"/>
  <c r="H56" i="8" s="1"/>
  <c r="I46" i="39"/>
  <c r="B57" i="11"/>
  <c r="F57" i="11"/>
  <c r="H57" i="11" s="1"/>
  <c r="B47" i="38"/>
  <c r="F47" i="38"/>
  <c r="B53" i="23"/>
  <c r="F53" i="23"/>
  <c r="H53" i="23" s="1"/>
  <c r="B55" i="3"/>
  <c r="F47" i="45"/>
  <c r="H47" i="45" s="1"/>
  <c r="B47" i="45"/>
  <c r="B59" i="10"/>
  <c r="B58" i="7"/>
  <c r="B56" i="6"/>
  <c r="I51" i="24"/>
  <c r="B55" i="5"/>
  <c r="I54" i="4"/>
  <c r="I44" i="43"/>
  <c r="F47" i="39"/>
  <c r="H47" i="39" s="1"/>
  <c r="B47" i="39"/>
  <c r="I54" i="3"/>
  <c r="B50" i="28"/>
  <c r="D58" i="9"/>
  <c r="D48" i="13"/>
  <c r="E48" i="13" s="1"/>
  <c r="F48" i="37"/>
  <c r="G48" i="37" s="1"/>
  <c r="B48" i="37"/>
  <c r="B46" i="40"/>
  <c r="F46" i="40"/>
  <c r="I55" i="6"/>
  <c r="B52" i="24"/>
  <c r="F52" i="24"/>
  <c r="H52" i="24" s="1"/>
  <c r="B54" i="22"/>
  <c r="F54" i="22"/>
  <c r="H54" i="22" s="1"/>
  <c r="B55" i="4"/>
  <c r="F55" i="4"/>
  <c r="H55" i="4" s="1"/>
  <c r="I56" i="11"/>
  <c r="B46" i="42"/>
  <c r="F46" i="42"/>
  <c r="H46" i="42" s="1"/>
  <c r="F50" i="29"/>
  <c r="H50" i="29" s="1"/>
  <c r="B50" i="29"/>
  <c r="I46" i="45"/>
  <c r="F129" i="13"/>
  <c r="B129" i="13"/>
  <c r="H128" i="13"/>
  <c r="I128" i="13"/>
  <c r="B57" i="47" l="1"/>
  <c r="E57" i="47"/>
  <c r="F57" i="47" s="1"/>
  <c r="H50" i="31"/>
  <c r="G49" i="30"/>
  <c r="G50" i="29"/>
  <c r="H50" i="28"/>
  <c r="G51" i="27"/>
  <c r="G54" i="25"/>
  <c r="G52" i="24"/>
  <c r="G53" i="23"/>
  <c r="G54" i="22"/>
  <c r="G57" i="11"/>
  <c r="H59" i="10"/>
  <c r="E58" i="9"/>
  <c r="G56" i="8"/>
  <c r="G58" i="7"/>
  <c r="G56" i="6"/>
  <c r="G55" i="5"/>
  <c r="G55" i="4"/>
  <c r="G55" i="3"/>
  <c r="H47" i="44"/>
  <c r="G47" i="44"/>
  <c r="I47" i="44" s="1"/>
  <c r="D48" i="44"/>
  <c r="D52" i="27"/>
  <c r="E52" i="27"/>
  <c r="H46" i="41"/>
  <c r="I46" i="41" s="1"/>
  <c r="D56" i="4"/>
  <c r="D53" i="24"/>
  <c r="D47" i="40"/>
  <c r="E47" i="40"/>
  <c r="D48" i="38"/>
  <c r="E48" i="38" s="1"/>
  <c r="D47" i="42"/>
  <c r="E47" i="42"/>
  <c r="G46" i="40"/>
  <c r="D48" i="45"/>
  <c r="E48" i="45" s="1"/>
  <c r="D54" i="23"/>
  <c r="H47" i="38"/>
  <c r="D50" i="30"/>
  <c r="I46" i="46"/>
  <c r="D51" i="29"/>
  <c r="E51" i="29"/>
  <c r="D55" i="22"/>
  <c r="E55" i="22"/>
  <c r="D49" i="37"/>
  <c r="E49" i="37"/>
  <c r="F58" i="9"/>
  <c r="H58" i="9" s="1"/>
  <c r="B58" i="9"/>
  <c r="D51" i="28"/>
  <c r="E51" i="28"/>
  <c r="D48" i="39"/>
  <c r="E48" i="39"/>
  <c r="D57" i="6"/>
  <c r="E57" i="6"/>
  <c r="D60" i="10"/>
  <c r="G47" i="45"/>
  <c r="I47" i="45" s="1"/>
  <c r="D57" i="8"/>
  <c r="D46" i="43"/>
  <c r="E46" i="43" s="1"/>
  <c r="G46" i="42"/>
  <c r="I46" i="42" s="1"/>
  <c r="H46" i="40"/>
  <c r="H48" i="37"/>
  <c r="I48" i="37" s="1"/>
  <c r="F48" i="13"/>
  <c r="G48" i="13" s="1"/>
  <c r="B48" i="13"/>
  <c r="I57" i="9"/>
  <c r="G47" i="39"/>
  <c r="I47" i="39" s="1"/>
  <c r="D56" i="5"/>
  <c r="D59" i="7"/>
  <c r="D56" i="3"/>
  <c r="G47" i="38"/>
  <c r="D58" i="11"/>
  <c r="D55" i="25"/>
  <c r="E55" i="25"/>
  <c r="H45" i="43"/>
  <c r="I45" i="43" s="1"/>
  <c r="D47" i="41"/>
  <c r="E47" i="41" s="1"/>
  <c r="D51" i="31"/>
  <c r="F47" i="46"/>
  <c r="H47" i="46" s="1"/>
  <c r="B47" i="46"/>
  <c r="J128" i="13"/>
  <c r="G129" i="13"/>
  <c r="D130" i="13"/>
  <c r="E130" i="13" s="1"/>
  <c r="D58" i="47" l="1"/>
  <c r="E58" i="47" s="1"/>
  <c r="H57" i="47"/>
  <c r="G57" i="47"/>
  <c r="E51" i="31"/>
  <c r="E50" i="30"/>
  <c r="E53" i="24"/>
  <c r="F53" i="24" s="1"/>
  <c r="G53" i="24" s="1"/>
  <c r="E54" i="23"/>
  <c r="F54" i="23" s="1"/>
  <c r="H54" i="23" s="1"/>
  <c r="E58" i="11"/>
  <c r="E60" i="10"/>
  <c r="F60" i="10" s="1"/>
  <c r="H60" i="10" s="1"/>
  <c r="G58" i="9"/>
  <c r="E57" i="8"/>
  <c r="F57" i="8" s="1"/>
  <c r="H57" i="8" s="1"/>
  <c r="E59" i="7"/>
  <c r="E56" i="5"/>
  <c r="E56" i="4"/>
  <c r="F56" i="4" s="1"/>
  <c r="H56" i="4" s="1"/>
  <c r="E56" i="3"/>
  <c r="F56" i="3" s="1"/>
  <c r="H56" i="3" s="1"/>
  <c r="E48" i="44"/>
  <c r="F48" i="44" s="1"/>
  <c r="B48" i="44"/>
  <c r="I49" i="30"/>
  <c r="I51" i="27"/>
  <c r="H48" i="13"/>
  <c r="I48" i="13" s="1"/>
  <c r="I54" i="22"/>
  <c r="I50" i="29"/>
  <c r="I59" i="10"/>
  <c r="I50" i="31"/>
  <c r="I58" i="7"/>
  <c r="I46" i="40"/>
  <c r="B52" i="27"/>
  <c r="F52" i="27"/>
  <c r="H52" i="27" s="1"/>
  <c r="G47" i="46"/>
  <c r="I47" i="46" s="1"/>
  <c r="I57" i="11"/>
  <c r="I56" i="8"/>
  <c r="F51" i="28"/>
  <c r="H51" i="28" s="1"/>
  <c r="B51" i="28"/>
  <c r="F47" i="42"/>
  <c r="G47" i="42" s="1"/>
  <c r="B47" i="42"/>
  <c r="B53" i="24"/>
  <c r="B56" i="4"/>
  <c r="B47" i="41"/>
  <c r="F47" i="41"/>
  <c r="H47" i="41" s="1"/>
  <c r="B55" i="25"/>
  <c r="F55" i="25"/>
  <c r="G55" i="25" s="1"/>
  <c r="B56" i="3"/>
  <c r="D49" i="13"/>
  <c r="E49" i="13" s="1"/>
  <c r="F57" i="6"/>
  <c r="H57" i="6" s="1"/>
  <c r="B57" i="6"/>
  <c r="B48" i="39"/>
  <c r="F48" i="39"/>
  <c r="H48" i="39" s="1"/>
  <c r="F49" i="37"/>
  <c r="H49" i="37" s="1"/>
  <c r="B49" i="37"/>
  <c r="I53" i="23"/>
  <c r="F48" i="45"/>
  <c r="G48" i="45" s="1"/>
  <c r="B48" i="45"/>
  <c r="I54" i="25"/>
  <c r="F58" i="11"/>
  <c r="H58" i="11" s="1"/>
  <c r="B58" i="11"/>
  <c r="I55" i="3"/>
  <c r="F46" i="43"/>
  <c r="G46" i="43" s="1"/>
  <c r="B46" i="43"/>
  <c r="B57" i="8"/>
  <c r="B50" i="30"/>
  <c r="F50" i="30"/>
  <c r="H50" i="30" s="1"/>
  <c r="F48" i="38"/>
  <c r="H48" i="38" s="1"/>
  <c r="B48" i="38"/>
  <c r="F47" i="40"/>
  <c r="G47" i="40" s="1"/>
  <c r="B47" i="40"/>
  <c r="I52" i="24"/>
  <c r="I55" i="4"/>
  <c r="D48" i="46"/>
  <c r="E48" i="46" s="1"/>
  <c r="B51" i="31"/>
  <c r="F51" i="31"/>
  <c r="H51" i="31" s="1"/>
  <c r="B59" i="7"/>
  <c r="F59" i="7"/>
  <c r="G59" i="7" s="1"/>
  <c r="B56" i="5"/>
  <c r="F56" i="5"/>
  <c r="H56" i="5" s="1"/>
  <c r="B60" i="10"/>
  <c r="I56" i="6"/>
  <c r="I50" i="28"/>
  <c r="E59" i="9"/>
  <c r="D59" i="9"/>
  <c r="B55" i="22"/>
  <c r="F55" i="22"/>
  <c r="H55" i="22" s="1"/>
  <c r="B51" i="29"/>
  <c r="F51" i="29"/>
  <c r="H51" i="29" s="1"/>
  <c r="I47" i="38"/>
  <c r="B54" i="23"/>
  <c r="B130" i="13"/>
  <c r="F130" i="13"/>
  <c r="H129" i="13"/>
  <c r="I129" i="13"/>
  <c r="I57" i="47" l="1"/>
  <c r="B58" i="47"/>
  <c r="F58" i="47"/>
  <c r="G51" i="31"/>
  <c r="G50" i="30"/>
  <c r="G51" i="29"/>
  <c r="G51" i="28"/>
  <c r="G52" i="27"/>
  <c r="H55" i="25"/>
  <c r="H53" i="24"/>
  <c r="G54" i="23"/>
  <c r="G55" i="22"/>
  <c r="G58" i="11"/>
  <c r="G60" i="10"/>
  <c r="G57" i="8"/>
  <c r="H59" i="7"/>
  <c r="G57" i="6"/>
  <c r="G56" i="5"/>
  <c r="G56" i="4"/>
  <c r="G56" i="3"/>
  <c r="G48" i="44"/>
  <c r="D49" i="44"/>
  <c r="H48" i="44"/>
  <c r="I58" i="9"/>
  <c r="H47" i="40"/>
  <c r="I47" i="40" s="1"/>
  <c r="G48" i="39"/>
  <c r="I48" i="39" s="1"/>
  <c r="G47" i="41"/>
  <c r="I47" i="41" s="1"/>
  <c r="D53" i="27"/>
  <c r="E53" i="27"/>
  <c r="D47" i="43"/>
  <c r="E47" i="43"/>
  <c r="D50" i="37"/>
  <c r="E50" i="37"/>
  <c r="D56" i="25"/>
  <c r="E56" i="25"/>
  <c r="D54" i="24"/>
  <c r="E54" i="24"/>
  <c r="D55" i="23"/>
  <c r="E55" i="23"/>
  <c r="D61" i="10"/>
  <c r="E61" i="10"/>
  <c r="D60" i="7"/>
  <c r="E60" i="7"/>
  <c r="D51" i="30"/>
  <c r="E51" i="30"/>
  <c r="B49" i="13"/>
  <c r="F49" i="13"/>
  <c r="G49" i="13" s="1"/>
  <c r="D48" i="42"/>
  <c r="E48" i="42"/>
  <c r="D56" i="22"/>
  <c r="E56" i="22"/>
  <c r="F48" i="46"/>
  <c r="B48" i="46"/>
  <c r="D49" i="38"/>
  <c r="E49" i="38" s="1"/>
  <c r="D49" i="45"/>
  <c r="D49" i="39"/>
  <c r="E49" i="39"/>
  <c r="D57" i="4"/>
  <c r="E57" i="4"/>
  <c r="D52" i="29"/>
  <c r="E52" i="29"/>
  <c r="F59" i="9"/>
  <c r="H59" i="9" s="1"/>
  <c r="B59" i="9"/>
  <c r="D57" i="5"/>
  <c r="E57" i="5"/>
  <c r="D52" i="31"/>
  <c r="E52" i="31"/>
  <c r="D48" i="40"/>
  <c r="E48" i="40" s="1"/>
  <c r="G48" i="38"/>
  <c r="I48" i="38" s="1"/>
  <c r="D58" i="8"/>
  <c r="H46" i="43"/>
  <c r="I46" i="43" s="1"/>
  <c r="D59" i="11"/>
  <c r="E59" i="11"/>
  <c r="H48" i="45"/>
  <c r="I48" i="45" s="1"/>
  <c r="G49" i="37"/>
  <c r="I49" i="37" s="1"/>
  <c r="D58" i="6"/>
  <c r="D57" i="3"/>
  <c r="D48" i="41"/>
  <c r="E48" i="41"/>
  <c r="H47" i="42"/>
  <c r="I47" i="42" s="1"/>
  <c r="D52" i="28"/>
  <c r="E52" i="28"/>
  <c r="J129" i="13"/>
  <c r="G130" i="13"/>
  <c r="D131" i="13"/>
  <c r="D59" i="47" l="1"/>
  <c r="E59" i="47"/>
  <c r="G58" i="47"/>
  <c r="H58" i="47"/>
  <c r="G59" i="9"/>
  <c r="E58" i="8"/>
  <c r="F58" i="8" s="1"/>
  <c r="H58" i="8" s="1"/>
  <c r="E58" i="6"/>
  <c r="F58" i="6" s="1"/>
  <c r="G58" i="6" s="1"/>
  <c r="E57" i="3"/>
  <c r="F57" i="3" s="1"/>
  <c r="H57" i="3" s="1"/>
  <c r="I48" i="44"/>
  <c r="E49" i="44"/>
  <c r="F49" i="44" s="1"/>
  <c r="B49" i="44"/>
  <c r="I56" i="4"/>
  <c r="I52" i="27"/>
  <c r="I59" i="7"/>
  <c r="F53" i="27"/>
  <c r="H53" i="27" s="1"/>
  <c r="B53" i="27"/>
  <c r="I55" i="22"/>
  <c r="I50" i="30"/>
  <c r="B57" i="3"/>
  <c r="B58" i="8"/>
  <c r="F48" i="40"/>
  <c r="G48" i="40" s="1"/>
  <c r="B48" i="40"/>
  <c r="I51" i="31"/>
  <c r="B51" i="30"/>
  <c r="F51" i="30"/>
  <c r="H51" i="30" s="1"/>
  <c r="F47" i="43"/>
  <c r="B47" i="43"/>
  <c r="B58" i="6"/>
  <c r="B57" i="4"/>
  <c r="F57" i="4"/>
  <c r="G57" i="4" s="1"/>
  <c r="F49" i="39"/>
  <c r="B49" i="39"/>
  <c r="B49" i="38"/>
  <c r="F49" i="38"/>
  <c r="H49" i="38" s="1"/>
  <c r="D49" i="46"/>
  <c r="B56" i="22"/>
  <c r="F56" i="22"/>
  <c r="H56" i="22" s="1"/>
  <c r="F48" i="42"/>
  <c r="B48" i="42"/>
  <c r="F60" i="7"/>
  <c r="H60" i="7" s="1"/>
  <c r="B60" i="7"/>
  <c r="B61" i="10"/>
  <c r="F61" i="10"/>
  <c r="H61" i="10" s="1"/>
  <c r="B56" i="25"/>
  <c r="F56" i="25"/>
  <c r="H56" i="25" s="1"/>
  <c r="F52" i="28"/>
  <c r="G52" i="28" s="1"/>
  <c r="B52" i="28"/>
  <c r="B48" i="41"/>
  <c r="F48" i="41"/>
  <c r="H48" i="41" s="1"/>
  <c r="I56" i="3"/>
  <c r="I57" i="6"/>
  <c r="B59" i="11"/>
  <c r="F59" i="11"/>
  <c r="G59" i="11" s="1"/>
  <c r="F52" i="29"/>
  <c r="G52" i="29" s="1"/>
  <c r="B52" i="29"/>
  <c r="B49" i="45"/>
  <c r="G48" i="46"/>
  <c r="D50" i="13"/>
  <c r="B55" i="23"/>
  <c r="F55" i="23"/>
  <c r="G55" i="23" s="1"/>
  <c r="F54" i="24"/>
  <c r="H54" i="24" s="1"/>
  <c r="B54" i="24"/>
  <c r="F50" i="37"/>
  <c r="H50" i="37" s="1"/>
  <c r="B50" i="37"/>
  <c r="I51" i="28"/>
  <c r="I58" i="11"/>
  <c r="I57" i="8"/>
  <c r="F52" i="31"/>
  <c r="G52" i="31" s="1"/>
  <c r="B52" i="31"/>
  <c r="F57" i="5"/>
  <c r="H57" i="5" s="1"/>
  <c r="B57" i="5"/>
  <c r="D60" i="9"/>
  <c r="I51" i="29"/>
  <c r="E49" i="45"/>
  <c r="F49" i="45" s="1"/>
  <c r="H48" i="46"/>
  <c r="H49" i="13"/>
  <c r="I49" i="13" s="1"/>
  <c r="I60" i="10"/>
  <c r="I54" i="23"/>
  <c r="I53" i="24"/>
  <c r="I55" i="25"/>
  <c r="H130" i="13"/>
  <c r="I130" i="13"/>
  <c r="B131" i="13"/>
  <c r="E131" i="13"/>
  <c r="F131" i="13" s="1"/>
  <c r="I58" i="47" l="1"/>
  <c r="F59" i="47"/>
  <c r="G59" i="47" s="1"/>
  <c r="B59" i="47"/>
  <c r="H59" i="47"/>
  <c r="H52" i="31"/>
  <c r="G51" i="30"/>
  <c r="H52" i="29"/>
  <c r="H52" i="28"/>
  <c r="G53" i="27"/>
  <c r="G56" i="25"/>
  <c r="G54" i="24"/>
  <c r="H55" i="23"/>
  <c r="G56" i="22"/>
  <c r="H59" i="11"/>
  <c r="G61" i="10"/>
  <c r="E60" i="9"/>
  <c r="F60" i="9" s="1"/>
  <c r="H60" i="9" s="1"/>
  <c r="G58" i="8"/>
  <c r="G60" i="7"/>
  <c r="H58" i="6"/>
  <c r="G57" i="5"/>
  <c r="H57" i="4"/>
  <c r="G57" i="3"/>
  <c r="H49" i="44"/>
  <c r="D50" i="44"/>
  <c r="G49" i="44"/>
  <c r="G49" i="38"/>
  <c r="I49" i="38" s="1"/>
  <c r="H48" i="40"/>
  <c r="I48" i="40" s="1"/>
  <c r="G50" i="37"/>
  <c r="I50" i="37" s="1"/>
  <c r="I59" i="9"/>
  <c r="I48" i="46"/>
  <c r="I53" i="27"/>
  <c r="D54" i="27"/>
  <c r="D50" i="45"/>
  <c r="E50" i="45" s="1"/>
  <c r="H49" i="45"/>
  <c r="G49" i="45"/>
  <c r="B60" i="9"/>
  <c r="D53" i="31"/>
  <c r="B50" i="13"/>
  <c r="D53" i="29"/>
  <c r="E53" i="29"/>
  <c r="D61" i="7"/>
  <c r="E61" i="7"/>
  <c r="D49" i="42"/>
  <c r="E49" i="42" s="1"/>
  <c r="B49" i="46"/>
  <c r="D50" i="39"/>
  <c r="E50" i="39"/>
  <c r="D48" i="43"/>
  <c r="E48" i="43"/>
  <c r="D55" i="24"/>
  <c r="E55" i="24"/>
  <c r="E50" i="13"/>
  <c r="F50" i="13" s="1"/>
  <c r="D60" i="11"/>
  <c r="D62" i="10"/>
  <c r="E62" i="10" s="1"/>
  <c r="D57" i="22"/>
  <c r="H49" i="39"/>
  <c r="D58" i="4"/>
  <c r="E58" i="4"/>
  <c r="H47" i="43"/>
  <c r="D52" i="30"/>
  <c r="E52" i="30"/>
  <c r="D59" i="8"/>
  <c r="D58" i="5"/>
  <c r="D56" i="23"/>
  <c r="E56" i="23"/>
  <c r="D49" i="41"/>
  <c r="E49" i="41"/>
  <c r="D53" i="28"/>
  <c r="E53" i="28"/>
  <c r="G48" i="42"/>
  <c r="G49" i="39"/>
  <c r="D51" i="37"/>
  <c r="E51" i="37" s="1"/>
  <c r="G48" i="41"/>
  <c r="I48" i="41" s="1"/>
  <c r="D57" i="25"/>
  <c r="H48" i="42"/>
  <c r="E49" i="46"/>
  <c r="F49" i="46" s="1"/>
  <c r="D50" i="38"/>
  <c r="E50" i="38"/>
  <c r="D59" i="6"/>
  <c r="G47" i="43"/>
  <c r="D49" i="40"/>
  <c r="E49" i="40"/>
  <c r="D58" i="3"/>
  <c r="J130" i="13"/>
  <c r="J155" i="13" s="1"/>
  <c r="G131" i="13"/>
  <c r="D132" i="13"/>
  <c r="I59" i="47" l="1"/>
  <c r="D60" i="47"/>
  <c r="E53" i="31"/>
  <c r="F53" i="31" s="1"/>
  <c r="H53" i="31" s="1"/>
  <c r="E57" i="25"/>
  <c r="F57" i="25" s="1"/>
  <c r="G57" i="25" s="1"/>
  <c r="E57" i="22"/>
  <c r="E60" i="11"/>
  <c r="F60" i="11" s="1"/>
  <c r="G60" i="11" s="1"/>
  <c r="G60" i="9"/>
  <c r="E59" i="8"/>
  <c r="F59" i="8" s="1"/>
  <c r="G59" i="8" s="1"/>
  <c r="E59" i="6"/>
  <c r="F59" i="6" s="1"/>
  <c r="H59" i="6" s="1"/>
  <c r="E58" i="5"/>
  <c r="F58" i="5" s="1"/>
  <c r="H58" i="5" s="1"/>
  <c r="E58" i="3"/>
  <c r="F58" i="3" s="1"/>
  <c r="H58" i="3" s="1"/>
  <c r="I49" i="44"/>
  <c r="E50" i="44"/>
  <c r="F50" i="44" s="1"/>
  <c r="B50" i="44"/>
  <c r="I57" i="4"/>
  <c r="I48" i="42"/>
  <c r="I61" i="10"/>
  <c r="I52" i="29"/>
  <c r="I57" i="3"/>
  <c r="I56" i="25"/>
  <c r="I58" i="8"/>
  <c r="I55" i="23"/>
  <c r="I60" i="7"/>
  <c r="B54" i="27"/>
  <c r="I49" i="45"/>
  <c r="I51" i="30"/>
  <c r="I56" i="22"/>
  <c r="I59" i="11"/>
  <c r="E54" i="27"/>
  <c r="F54" i="27" s="1"/>
  <c r="G54" i="27" s="1"/>
  <c r="D50" i="46"/>
  <c r="E50" i="46" s="1"/>
  <c r="G49" i="46"/>
  <c r="H49" i="46"/>
  <c r="D51" i="13"/>
  <c r="E51" i="13" s="1"/>
  <c r="H50" i="13"/>
  <c r="G50" i="13"/>
  <c r="B59" i="6"/>
  <c r="B57" i="25"/>
  <c r="F53" i="28"/>
  <c r="H53" i="28" s="1"/>
  <c r="B53" i="28"/>
  <c r="F56" i="23"/>
  <c r="H56" i="23" s="1"/>
  <c r="B56" i="23"/>
  <c r="B52" i="30"/>
  <c r="F52" i="30"/>
  <c r="H52" i="30" s="1"/>
  <c r="F58" i="4"/>
  <c r="H58" i="4" s="1"/>
  <c r="B58" i="4"/>
  <c r="B55" i="24"/>
  <c r="F55" i="24"/>
  <c r="H55" i="24" s="1"/>
  <c r="B61" i="7"/>
  <c r="F61" i="7"/>
  <c r="H61" i="7" s="1"/>
  <c r="B59" i="8"/>
  <c r="F48" i="43"/>
  <c r="H48" i="43" s="1"/>
  <c r="B48" i="43"/>
  <c r="F49" i="42"/>
  <c r="B49" i="42"/>
  <c r="B53" i="31"/>
  <c r="B50" i="38"/>
  <c r="F50" i="38"/>
  <c r="G50" i="38" s="1"/>
  <c r="F51" i="37"/>
  <c r="H51" i="37" s="1"/>
  <c r="B51" i="37"/>
  <c r="I52" i="28"/>
  <c r="F49" i="41"/>
  <c r="G49" i="41" s="1"/>
  <c r="B49" i="41"/>
  <c r="B58" i="5"/>
  <c r="I47" i="43"/>
  <c r="F57" i="22"/>
  <c r="H57" i="22" s="1"/>
  <c r="B57" i="22"/>
  <c r="B62" i="10"/>
  <c r="F62" i="10"/>
  <c r="H62" i="10" s="1"/>
  <c r="B58" i="3"/>
  <c r="B49" i="40"/>
  <c r="F49" i="40"/>
  <c r="G49" i="40" s="1"/>
  <c r="I58" i="6"/>
  <c r="I49" i="39"/>
  <c r="B60" i="11"/>
  <c r="I54" i="24"/>
  <c r="F50" i="39"/>
  <c r="H50" i="39" s="1"/>
  <c r="B50" i="39"/>
  <c r="F53" i="29"/>
  <c r="H53" i="29" s="1"/>
  <c r="B53" i="29"/>
  <c r="I52" i="31"/>
  <c r="D61" i="9"/>
  <c r="B50" i="45"/>
  <c r="F50" i="45"/>
  <c r="H50" i="45" s="1"/>
  <c r="B132" i="13"/>
  <c r="I131" i="13"/>
  <c r="H131" i="13"/>
  <c r="E132" i="13"/>
  <c r="F132" i="13" s="1"/>
  <c r="B60" i="47" l="1"/>
  <c r="E60" i="47"/>
  <c r="F60" i="47" s="1"/>
  <c r="G53" i="31"/>
  <c r="G52" i="30"/>
  <c r="G53" i="29"/>
  <c r="G53" i="28"/>
  <c r="H54" i="27"/>
  <c r="H57" i="25"/>
  <c r="G55" i="24"/>
  <c r="G56" i="23"/>
  <c r="G57" i="22"/>
  <c r="H60" i="11"/>
  <c r="G62" i="10"/>
  <c r="E61" i="9"/>
  <c r="F61" i="9" s="1"/>
  <c r="H61" i="9" s="1"/>
  <c r="H59" i="8"/>
  <c r="G61" i="7"/>
  <c r="G59" i="6"/>
  <c r="G58" i="5"/>
  <c r="G58" i="4"/>
  <c r="G58" i="3"/>
  <c r="H50" i="44"/>
  <c r="D51" i="44"/>
  <c r="G50" i="44"/>
  <c r="I49" i="46"/>
  <c r="G51" i="37"/>
  <c r="G50" i="45"/>
  <c r="I50" i="45" s="1"/>
  <c r="D55" i="27"/>
  <c r="H49" i="40"/>
  <c r="I49" i="40" s="1"/>
  <c r="H49" i="41"/>
  <c r="I49" i="41" s="1"/>
  <c r="I51" i="37"/>
  <c r="D54" i="29"/>
  <c r="E54" i="29"/>
  <c r="D51" i="39"/>
  <c r="E51" i="39"/>
  <c r="D63" i="10"/>
  <c r="D54" i="31"/>
  <c r="D50" i="42"/>
  <c r="E50" i="42"/>
  <c r="D62" i="7"/>
  <c r="D58" i="25"/>
  <c r="B61" i="9"/>
  <c r="D59" i="5"/>
  <c r="D51" i="38"/>
  <c r="E51" i="38" s="1"/>
  <c r="G49" i="42"/>
  <c r="D49" i="43"/>
  <c r="E49" i="43"/>
  <c r="D59" i="4"/>
  <c r="E59" i="4"/>
  <c r="D57" i="23"/>
  <c r="E57" i="23"/>
  <c r="I50" i="13"/>
  <c r="I60" i="9"/>
  <c r="D50" i="40"/>
  <c r="E50" i="40" s="1"/>
  <c r="D50" i="41"/>
  <c r="E50" i="41" s="1"/>
  <c r="H50" i="38"/>
  <c r="I50" i="38" s="1"/>
  <c r="H49" i="42"/>
  <c r="D60" i="8"/>
  <c r="E60" i="8"/>
  <c r="D56" i="24"/>
  <c r="D53" i="30"/>
  <c r="E53" i="30"/>
  <c r="D60" i="6"/>
  <c r="D51" i="45"/>
  <c r="E51" i="45" s="1"/>
  <c r="G50" i="39"/>
  <c r="I50" i="39" s="1"/>
  <c r="D61" i="11"/>
  <c r="E61" i="11"/>
  <c r="D59" i="3"/>
  <c r="E59" i="3"/>
  <c r="D58" i="22"/>
  <c r="D52" i="37"/>
  <c r="E52" i="37" s="1"/>
  <c r="G48" i="43"/>
  <c r="I48" i="43" s="1"/>
  <c r="D54" i="28"/>
  <c r="B51" i="13"/>
  <c r="F51" i="13"/>
  <c r="G51" i="13" s="1"/>
  <c r="F50" i="46"/>
  <c r="B50" i="46"/>
  <c r="D133" i="13"/>
  <c r="E133" i="13" s="1"/>
  <c r="G132" i="13"/>
  <c r="D61" i="47" l="1"/>
  <c r="E61" i="47" s="1"/>
  <c r="H60" i="47"/>
  <c r="G60" i="47"/>
  <c r="E54" i="31"/>
  <c r="F54" i="31" s="1"/>
  <c r="H54" i="31" s="1"/>
  <c r="E54" i="28"/>
  <c r="F54" i="28" s="1"/>
  <c r="G54" i="28" s="1"/>
  <c r="E58" i="25"/>
  <c r="E56" i="24"/>
  <c r="F56" i="24" s="1"/>
  <c r="H56" i="24" s="1"/>
  <c r="E58" i="22"/>
  <c r="E63" i="10"/>
  <c r="F63" i="10" s="1"/>
  <c r="G63" i="10" s="1"/>
  <c r="G61" i="9"/>
  <c r="E62" i="7"/>
  <c r="F62" i="7" s="1"/>
  <c r="H62" i="7" s="1"/>
  <c r="E60" i="6"/>
  <c r="E59" i="5"/>
  <c r="F59" i="5" s="1"/>
  <c r="H59" i="5" s="1"/>
  <c r="I59" i="6"/>
  <c r="I53" i="29"/>
  <c r="E51" i="44"/>
  <c r="F51" i="44" s="1"/>
  <c r="B51" i="44"/>
  <c r="I54" i="27"/>
  <c r="I50" i="44"/>
  <c r="I52" i="30"/>
  <c r="I49" i="42"/>
  <c r="I58" i="4"/>
  <c r="I55" i="24"/>
  <c r="I59" i="8"/>
  <c r="I57" i="25"/>
  <c r="I61" i="7"/>
  <c r="I58" i="3"/>
  <c r="I60" i="11"/>
  <c r="B55" i="27"/>
  <c r="E55" i="27"/>
  <c r="F55" i="27" s="1"/>
  <c r="H55" i="27" s="1"/>
  <c r="B60" i="8"/>
  <c r="F60" i="8"/>
  <c r="H60" i="8" s="1"/>
  <c r="F50" i="41"/>
  <c r="H50" i="41" s="1"/>
  <c r="B50" i="41"/>
  <c r="B59" i="4"/>
  <c r="F59" i="4"/>
  <c r="H59" i="4" s="1"/>
  <c r="F49" i="43"/>
  <c r="H49" i="43" s="1"/>
  <c r="B49" i="43"/>
  <c r="F58" i="25"/>
  <c r="H58" i="25" s="1"/>
  <c r="B58" i="25"/>
  <c r="B62" i="7"/>
  <c r="B50" i="42"/>
  <c r="F50" i="42"/>
  <c r="H50" i="42" s="1"/>
  <c r="B54" i="29"/>
  <c r="F54" i="29"/>
  <c r="H54" i="29" s="1"/>
  <c r="D51" i="46"/>
  <c r="E51" i="46" s="1"/>
  <c r="D52" i="13"/>
  <c r="B54" i="28"/>
  <c r="F52" i="37"/>
  <c r="G52" i="37" s="1"/>
  <c r="B52" i="37"/>
  <c r="B58" i="22"/>
  <c r="F58" i="22"/>
  <c r="H58" i="22" s="1"/>
  <c r="F60" i="6"/>
  <c r="G60" i="6" s="1"/>
  <c r="B60" i="6"/>
  <c r="B56" i="24"/>
  <c r="D62" i="9"/>
  <c r="H50" i="46"/>
  <c r="I53" i="28"/>
  <c r="I57" i="22"/>
  <c r="F50" i="40"/>
  <c r="H50" i="40" s="1"/>
  <c r="B50" i="40"/>
  <c r="I56" i="23"/>
  <c r="B59" i="5"/>
  <c r="B54" i="31"/>
  <c r="I62" i="10"/>
  <c r="B51" i="39"/>
  <c r="F51" i="39"/>
  <c r="G50" i="46"/>
  <c r="H51" i="13"/>
  <c r="I51" i="13" s="1"/>
  <c r="F59" i="3"/>
  <c r="H59" i="3" s="1"/>
  <c r="B59" i="3"/>
  <c r="F61" i="11"/>
  <c r="H61" i="11" s="1"/>
  <c r="B61" i="11"/>
  <c r="F51" i="45"/>
  <c r="G51" i="45" s="1"/>
  <c r="B51" i="45"/>
  <c r="F53" i="30"/>
  <c r="H53" i="30" s="1"/>
  <c r="B53" i="30"/>
  <c r="F57" i="23"/>
  <c r="H57" i="23" s="1"/>
  <c r="B57" i="23"/>
  <c r="F51" i="38"/>
  <c r="G51" i="38" s="1"/>
  <c r="B51" i="38"/>
  <c r="I53" i="31"/>
  <c r="B63" i="10"/>
  <c r="B133" i="13"/>
  <c r="F133" i="13"/>
  <c r="I132" i="13"/>
  <c r="H132" i="13"/>
  <c r="I60" i="47" l="1"/>
  <c r="F61" i="47"/>
  <c r="G61" i="47" s="1"/>
  <c r="B61" i="47"/>
  <c r="H61" i="47"/>
  <c r="G54" i="31"/>
  <c r="G53" i="30"/>
  <c r="G54" i="29"/>
  <c r="H54" i="28"/>
  <c r="G55" i="27"/>
  <c r="G58" i="25"/>
  <c r="G56" i="24"/>
  <c r="G57" i="23"/>
  <c r="G58" i="22"/>
  <c r="G61" i="11"/>
  <c r="H63" i="10"/>
  <c r="E62" i="9"/>
  <c r="F62" i="9" s="1"/>
  <c r="G62" i="9" s="1"/>
  <c r="G60" i="8"/>
  <c r="G62" i="7"/>
  <c r="H60" i="6"/>
  <c r="G59" i="5"/>
  <c r="G59" i="4"/>
  <c r="G59" i="3"/>
  <c r="H51" i="44"/>
  <c r="G51" i="44"/>
  <c r="D52" i="44"/>
  <c r="H51" i="45"/>
  <c r="I51" i="45" s="1"/>
  <c r="H52" i="37"/>
  <c r="I52" i="37" s="1"/>
  <c r="G50" i="40"/>
  <c r="I50" i="40" s="1"/>
  <c r="D56" i="27"/>
  <c r="I61" i="9"/>
  <c r="D58" i="23"/>
  <c r="E58" i="23"/>
  <c r="D62" i="11"/>
  <c r="D60" i="4"/>
  <c r="D64" i="10"/>
  <c r="D52" i="39"/>
  <c r="E52" i="39" s="1"/>
  <c r="D60" i="5"/>
  <c r="I50" i="46"/>
  <c r="D61" i="6"/>
  <c r="E61" i="6"/>
  <c r="D55" i="28"/>
  <c r="F51" i="46"/>
  <c r="B51" i="46"/>
  <c r="D51" i="42"/>
  <c r="E51" i="42"/>
  <c r="D63" i="7"/>
  <c r="D51" i="41"/>
  <c r="E51" i="41"/>
  <c r="D52" i="38"/>
  <c r="E52" i="38"/>
  <c r="H51" i="38"/>
  <c r="I51" i="38" s="1"/>
  <c r="D54" i="30"/>
  <c r="E54" i="30"/>
  <c r="D52" i="45"/>
  <c r="E52" i="45" s="1"/>
  <c r="D60" i="3"/>
  <c r="E60" i="3"/>
  <c r="G51" i="39"/>
  <c r="D55" i="31"/>
  <c r="D51" i="40"/>
  <c r="E51" i="40"/>
  <c r="D57" i="24"/>
  <c r="E57" i="24"/>
  <c r="D59" i="22"/>
  <c r="E59" i="22"/>
  <c r="B52" i="13"/>
  <c r="D55" i="29"/>
  <c r="D50" i="43"/>
  <c r="E50" i="43" s="1"/>
  <c r="D61" i="8"/>
  <c r="E61" i="8"/>
  <c r="H51" i="39"/>
  <c r="B62" i="9"/>
  <c r="D53" i="37"/>
  <c r="E53" i="37" s="1"/>
  <c r="E52" i="13"/>
  <c r="F52" i="13" s="1"/>
  <c r="G50" i="42"/>
  <c r="I50" i="42" s="1"/>
  <c r="D59" i="25"/>
  <c r="G49" i="43"/>
  <c r="I49" i="43" s="1"/>
  <c r="G50" i="41"/>
  <c r="I50" i="41" s="1"/>
  <c r="G133" i="13"/>
  <c r="D134" i="13"/>
  <c r="I61" i="47" l="1"/>
  <c r="D62" i="47"/>
  <c r="E55" i="31"/>
  <c r="F55" i="31" s="1"/>
  <c r="G55" i="31" s="1"/>
  <c r="E55" i="29"/>
  <c r="E55" i="28"/>
  <c r="F55" i="28" s="1"/>
  <c r="G55" i="28" s="1"/>
  <c r="E56" i="27"/>
  <c r="F56" i="27" s="1"/>
  <c r="H56" i="27" s="1"/>
  <c r="E59" i="25"/>
  <c r="F59" i="25" s="1"/>
  <c r="G59" i="25" s="1"/>
  <c r="E62" i="11"/>
  <c r="F62" i="11" s="1"/>
  <c r="H62" i="11" s="1"/>
  <c r="E64" i="10"/>
  <c r="F64" i="10" s="1"/>
  <c r="H64" i="10" s="1"/>
  <c r="H62" i="9"/>
  <c r="E63" i="7"/>
  <c r="F63" i="7" s="1"/>
  <c r="H63" i="7" s="1"/>
  <c r="E60" i="5"/>
  <c r="F60" i="5" s="1"/>
  <c r="H60" i="5" s="1"/>
  <c r="E60" i="4"/>
  <c r="F60" i="4" s="1"/>
  <c r="H60" i="4" s="1"/>
  <c r="E52" i="44"/>
  <c r="F52" i="44" s="1"/>
  <c r="B52" i="44"/>
  <c r="I51" i="44"/>
  <c r="I56" i="24"/>
  <c r="I60" i="6"/>
  <c r="I61" i="11"/>
  <c r="I55" i="27"/>
  <c r="I51" i="39"/>
  <c r="I60" i="8"/>
  <c r="I54" i="31"/>
  <c r="I53" i="30"/>
  <c r="I59" i="3"/>
  <c r="I63" i="10"/>
  <c r="B56" i="27"/>
  <c r="D53" i="13"/>
  <c r="E53" i="13" s="1"/>
  <c r="H52" i="13"/>
  <c r="G52" i="13"/>
  <c r="I58" i="25"/>
  <c r="B54" i="30"/>
  <c r="F54" i="30"/>
  <c r="H54" i="30" s="1"/>
  <c r="D52" i="46"/>
  <c r="B55" i="28"/>
  <c r="F61" i="6"/>
  <c r="H61" i="6" s="1"/>
  <c r="B61" i="6"/>
  <c r="B60" i="4"/>
  <c r="D63" i="9"/>
  <c r="E63" i="9" s="1"/>
  <c r="F61" i="8"/>
  <c r="H61" i="8" s="1"/>
  <c r="B61" i="8"/>
  <c r="I54" i="29"/>
  <c r="F52" i="38"/>
  <c r="H52" i="38" s="1"/>
  <c r="B52" i="38"/>
  <c r="F51" i="42"/>
  <c r="G51" i="42" s="1"/>
  <c r="B51" i="42"/>
  <c r="G51" i="46"/>
  <c r="B64" i="10"/>
  <c r="B59" i="22"/>
  <c r="F59" i="22"/>
  <c r="G59" i="22" s="1"/>
  <c r="F51" i="40"/>
  <c r="G51" i="40" s="1"/>
  <c r="B51" i="40"/>
  <c r="B55" i="31"/>
  <c r="F52" i="45"/>
  <c r="G52" i="45" s="1"/>
  <c r="B52" i="45"/>
  <c r="B63" i="7"/>
  <c r="B52" i="39"/>
  <c r="F52" i="39"/>
  <c r="H52" i="39" s="1"/>
  <c r="B62" i="11"/>
  <c r="F58" i="23"/>
  <c r="H58" i="23" s="1"/>
  <c r="B58" i="23"/>
  <c r="B59" i="25"/>
  <c r="B53" i="37"/>
  <c r="F53" i="37"/>
  <c r="H53" i="37" s="1"/>
  <c r="F50" i="43"/>
  <c r="G50" i="43" s="1"/>
  <c r="B50" i="43"/>
  <c r="B55" i="29"/>
  <c r="F55" i="29"/>
  <c r="H55" i="29" s="1"/>
  <c r="I58" i="22"/>
  <c r="B57" i="24"/>
  <c r="F57" i="24"/>
  <c r="G57" i="24" s="1"/>
  <c r="F60" i="3"/>
  <c r="H60" i="3" s="1"/>
  <c r="B60" i="3"/>
  <c r="F51" i="41"/>
  <c r="G51" i="41" s="1"/>
  <c r="B51" i="41"/>
  <c r="I62" i="7"/>
  <c r="H51" i="46"/>
  <c r="I54" i="28"/>
  <c r="B60" i="5"/>
  <c r="I59" i="4"/>
  <c r="I57" i="23"/>
  <c r="B134" i="13"/>
  <c r="E134" i="13"/>
  <c r="F134" i="13" s="1"/>
  <c r="H133" i="13"/>
  <c r="I133" i="13"/>
  <c r="B62" i="47" l="1"/>
  <c r="E62" i="47"/>
  <c r="F62" i="47" s="1"/>
  <c r="G62" i="11"/>
  <c r="H55" i="31"/>
  <c r="G54" i="30"/>
  <c r="G55" i="29"/>
  <c r="H55" i="28"/>
  <c r="G56" i="27"/>
  <c r="H59" i="25"/>
  <c r="H57" i="24"/>
  <c r="G58" i="23"/>
  <c r="H59" i="22"/>
  <c r="G64" i="10"/>
  <c r="G61" i="8"/>
  <c r="G63" i="7"/>
  <c r="G61" i="6"/>
  <c r="G60" i="5"/>
  <c r="G60" i="4"/>
  <c r="G60" i="3"/>
  <c r="D53" i="44"/>
  <c r="G52" i="44"/>
  <c r="H52" i="44"/>
  <c r="H50" i="43"/>
  <c r="I50" i="43" s="1"/>
  <c r="I51" i="46"/>
  <c r="H51" i="40"/>
  <c r="I51" i="40" s="1"/>
  <c r="G53" i="37"/>
  <c r="I53" i="37" s="1"/>
  <c r="G52" i="39"/>
  <c r="I52" i="39" s="1"/>
  <c r="H52" i="45"/>
  <c r="I52" i="45" s="1"/>
  <c r="D57" i="27"/>
  <c r="I52" i="13"/>
  <c r="D61" i="3"/>
  <c r="D63" i="11"/>
  <c r="D56" i="31"/>
  <c r="D52" i="40"/>
  <c r="E52" i="40" s="1"/>
  <c r="D65" i="10"/>
  <c r="G52" i="38"/>
  <c r="I52" i="38" s="1"/>
  <c r="D62" i="8"/>
  <c r="I62" i="9"/>
  <c r="D62" i="6"/>
  <c r="B52" i="46"/>
  <c r="D52" i="41"/>
  <c r="E52" i="41" s="1"/>
  <c r="D56" i="29"/>
  <c r="D60" i="22"/>
  <c r="E60" i="22"/>
  <c r="D52" i="42"/>
  <c r="E52" i="42"/>
  <c r="D61" i="4"/>
  <c r="D55" i="30"/>
  <c r="D61" i="5"/>
  <c r="H51" i="41"/>
  <c r="I51" i="41" s="1"/>
  <c r="D58" i="24"/>
  <c r="D51" i="43"/>
  <c r="E51" i="43"/>
  <c r="D59" i="23"/>
  <c r="E59" i="23"/>
  <c r="D53" i="39"/>
  <c r="E53" i="39" s="1"/>
  <c r="D64" i="7"/>
  <c r="D53" i="45"/>
  <c r="E53" i="45" s="1"/>
  <c r="D56" i="28"/>
  <c r="D54" i="37"/>
  <c r="E54" i="37"/>
  <c r="D60" i="25"/>
  <c r="E60" i="25"/>
  <c r="H51" i="42"/>
  <c r="I51" i="42" s="1"/>
  <c r="D53" i="38"/>
  <c r="E53" i="38" s="1"/>
  <c r="B63" i="9"/>
  <c r="F63" i="9"/>
  <c r="H63" i="9" s="1"/>
  <c r="E52" i="46"/>
  <c r="F52" i="46" s="1"/>
  <c r="B53" i="13"/>
  <c r="F53" i="13"/>
  <c r="H53" i="13" s="1"/>
  <c r="D135" i="13"/>
  <c r="G134" i="13"/>
  <c r="D63" i="47" l="1"/>
  <c r="E63" i="47" s="1"/>
  <c r="G62" i="47"/>
  <c r="H62" i="47"/>
  <c r="I62" i="47" s="1"/>
  <c r="E56" i="31"/>
  <c r="F56" i="31" s="1"/>
  <c r="G56" i="31" s="1"/>
  <c r="E55" i="30"/>
  <c r="E56" i="29"/>
  <c r="F56" i="29" s="1"/>
  <c r="H56" i="29" s="1"/>
  <c r="E56" i="28"/>
  <c r="F56" i="28" s="1"/>
  <c r="G56" i="28" s="1"/>
  <c r="E58" i="24"/>
  <c r="F58" i="24" s="1"/>
  <c r="H58" i="24" s="1"/>
  <c r="E63" i="11"/>
  <c r="G63" i="9"/>
  <c r="E62" i="8"/>
  <c r="F62" i="8" s="1"/>
  <c r="H62" i="8" s="1"/>
  <c r="E64" i="7"/>
  <c r="E62" i="6"/>
  <c r="E61" i="5"/>
  <c r="F61" i="5" s="1"/>
  <c r="H61" i="5" s="1"/>
  <c r="E61" i="4"/>
  <c r="F61" i="4" s="1"/>
  <c r="G61" i="4" s="1"/>
  <c r="E61" i="3"/>
  <c r="F61" i="3" s="1"/>
  <c r="H61" i="3" s="1"/>
  <c r="I52" i="44"/>
  <c r="B53" i="44"/>
  <c r="E53" i="44"/>
  <c r="F53" i="44" s="1"/>
  <c r="I61" i="8"/>
  <c r="I56" i="27"/>
  <c r="I54" i="30"/>
  <c r="I57" i="24"/>
  <c r="I61" i="6"/>
  <c r="B57" i="27"/>
  <c r="E57" i="27"/>
  <c r="F57" i="27" s="1"/>
  <c r="H57" i="27" s="1"/>
  <c r="I55" i="28"/>
  <c r="I60" i="4"/>
  <c r="I55" i="31"/>
  <c r="D53" i="46"/>
  <c r="E53" i="46" s="1"/>
  <c r="H52" i="46"/>
  <c r="G52" i="46"/>
  <c r="F60" i="25"/>
  <c r="H60" i="25" s="1"/>
  <c r="B60" i="25"/>
  <c r="B54" i="37"/>
  <c r="F54" i="37"/>
  <c r="G54" i="37" s="1"/>
  <c r="F52" i="42"/>
  <c r="H52" i="42" s="1"/>
  <c r="B52" i="42"/>
  <c r="F60" i="22"/>
  <c r="H60" i="22" s="1"/>
  <c r="B60" i="22"/>
  <c r="I55" i="29"/>
  <c r="B65" i="10"/>
  <c r="I62" i="11"/>
  <c r="D54" i="13"/>
  <c r="E54" i="13" s="1"/>
  <c r="B53" i="38"/>
  <c r="F53" i="38"/>
  <c r="G53" i="38" s="1"/>
  <c r="I59" i="25"/>
  <c r="F64" i="7"/>
  <c r="G64" i="7" s="1"/>
  <c r="B64" i="7"/>
  <c r="B53" i="39"/>
  <c r="F53" i="39"/>
  <c r="G53" i="39" s="1"/>
  <c r="B59" i="23"/>
  <c r="F59" i="23"/>
  <c r="G59" i="23" s="1"/>
  <c r="B62" i="6"/>
  <c r="F62" i="6"/>
  <c r="H62" i="6" s="1"/>
  <c r="I64" i="10"/>
  <c r="B61" i="3"/>
  <c r="D64" i="9"/>
  <c r="B56" i="28"/>
  <c r="B58" i="24"/>
  <c r="B61" i="4"/>
  <c r="F52" i="41"/>
  <c r="H52" i="41" s="1"/>
  <c r="B52" i="41"/>
  <c r="B62" i="8"/>
  <c r="B52" i="40"/>
  <c r="F52" i="40"/>
  <c r="G52" i="40" s="1"/>
  <c r="B56" i="31"/>
  <c r="B63" i="11"/>
  <c r="F63" i="11"/>
  <c r="G63" i="11" s="1"/>
  <c r="I60" i="3"/>
  <c r="G53" i="13"/>
  <c r="I53" i="13" s="1"/>
  <c r="B53" i="45"/>
  <c r="F53" i="45"/>
  <c r="G53" i="45" s="1"/>
  <c r="I63" i="7"/>
  <c r="I58" i="23"/>
  <c r="B51" i="43"/>
  <c r="F51" i="43"/>
  <c r="H51" i="43" s="1"/>
  <c r="B61" i="5"/>
  <c r="B55" i="30"/>
  <c r="F55" i="30"/>
  <c r="G55" i="30" s="1"/>
  <c r="I59" i="22"/>
  <c r="B56" i="29"/>
  <c r="E65" i="10"/>
  <c r="F65" i="10" s="1"/>
  <c r="H65" i="10" s="1"/>
  <c r="B135" i="13"/>
  <c r="I134" i="13"/>
  <c r="H134" i="13"/>
  <c r="E135" i="13"/>
  <c r="F135" i="13" s="1"/>
  <c r="B63" i="47" l="1"/>
  <c r="F63" i="47"/>
  <c r="H63" i="47" s="1"/>
  <c r="H56" i="31"/>
  <c r="H55" i="30"/>
  <c r="G56" i="29"/>
  <c r="H56" i="28"/>
  <c r="G57" i="27"/>
  <c r="G60" i="25"/>
  <c r="G58" i="24"/>
  <c r="H59" i="23"/>
  <c r="G60" i="22"/>
  <c r="H63" i="11"/>
  <c r="G65" i="10"/>
  <c r="E64" i="9"/>
  <c r="F64" i="9" s="1"/>
  <c r="H64" i="9" s="1"/>
  <c r="G62" i="8"/>
  <c r="H64" i="7"/>
  <c r="G62" i="6"/>
  <c r="G61" i="5"/>
  <c r="H61" i="4"/>
  <c r="G61" i="3"/>
  <c r="G52" i="41"/>
  <c r="I52" i="41" s="1"/>
  <c r="D54" i="44"/>
  <c r="H53" i="44"/>
  <c r="G53" i="44"/>
  <c r="I52" i="46"/>
  <c r="G51" i="43"/>
  <c r="I51" i="43" s="1"/>
  <c r="I63" i="9"/>
  <c r="D58" i="27"/>
  <c r="E58" i="27" s="1"/>
  <c r="H53" i="45"/>
  <c r="I53" i="45" s="1"/>
  <c r="H53" i="39"/>
  <c r="I53" i="39" s="1"/>
  <c r="G52" i="42"/>
  <c r="I52" i="42" s="1"/>
  <c r="H54" i="37"/>
  <c r="I54" i="37" s="1"/>
  <c r="D66" i="10"/>
  <c r="D57" i="29"/>
  <c r="D53" i="40"/>
  <c r="E53" i="40" s="1"/>
  <c r="D60" i="23"/>
  <c r="D61" i="22"/>
  <c r="D62" i="5"/>
  <c r="D57" i="28"/>
  <c r="D54" i="38"/>
  <c r="E54" i="38"/>
  <c r="D57" i="31"/>
  <c r="D62" i="4"/>
  <c r="B64" i="9"/>
  <c r="D63" i="6"/>
  <c r="D54" i="39"/>
  <c r="E54" i="39"/>
  <c r="F54" i="13"/>
  <c r="H54" i="13" s="1"/>
  <c r="B54" i="13"/>
  <c r="D61" i="25"/>
  <c r="D56" i="30"/>
  <c r="D52" i="43"/>
  <c r="E52" i="43" s="1"/>
  <c r="D54" i="45"/>
  <c r="E54" i="45" s="1"/>
  <c r="D64" i="11"/>
  <c r="H52" i="40"/>
  <c r="I52" i="40" s="1"/>
  <c r="D63" i="8"/>
  <c r="D53" i="41"/>
  <c r="E53" i="41"/>
  <c r="D59" i="24"/>
  <c r="E59" i="24"/>
  <c r="D62" i="3"/>
  <c r="E62" i="3" s="1"/>
  <c r="D65" i="7"/>
  <c r="H53" i="38"/>
  <c r="I53" i="38" s="1"/>
  <c r="D53" i="42"/>
  <c r="E53" i="42"/>
  <c r="D55" i="37"/>
  <c r="E55" i="37"/>
  <c r="F53" i="46"/>
  <c r="B53" i="46"/>
  <c r="G135" i="13"/>
  <c r="D136" i="13"/>
  <c r="D64" i="47" l="1"/>
  <c r="E64" i="47" s="1"/>
  <c r="G63" i="47"/>
  <c r="I63" i="47" s="1"/>
  <c r="E57" i="31"/>
  <c r="F57" i="31" s="1"/>
  <c r="H57" i="31" s="1"/>
  <c r="E56" i="30"/>
  <c r="F56" i="30" s="1"/>
  <c r="H56" i="30" s="1"/>
  <c r="E57" i="29"/>
  <c r="F57" i="29" s="1"/>
  <c r="H57" i="29" s="1"/>
  <c r="E57" i="28"/>
  <c r="F57" i="28" s="1"/>
  <c r="H57" i="28" s="1"/>
  <c r="E61" i="25"/>
  <c r="F61" i="25" s="1"/>
  <c r="G61" i="25" s="1"/>
  <c r="E60" i="23"/>
  <c r="F60" i="23" s="1"/>
  <c r="H60" i="23" s="1"/>
  <c r="E61" i="22"/>
  <c r="F61" i="22" s="1"/>
  <c r="H61" i="22" s="1"/>
  <c r="E64" i="11"/>
  <c r="F64" i="11" s="1"/>
  <c r="H64" i="11" s="1"/>
  <c r="E66" i="10"/>
  <c r="G64" i="9"/>
  <c r="E63" i="8"/>
  <c r="F63" i="8" s="1"/>
  <c r="H63" i="8" s="1"/>
  <c r="E63" i="6"/>
  <c r="F63" i="6" s="1"/>
  <c r="H63" i="6" s="1"/>
  <c r="E62" i="5"/>
  <c r="E62" i="4"/>
  <c r="F62" i="4" s="1"/>
  <c r="H62" i="4" s="1"/>
  <c r="I60" i="22"/>
  <c r="I53" i="44"/>
  <c r="E54" i="44"/>
  <c r="F54" i="44" s="1"/>
  <c r="B54" i="44"/>
  <c r="I58" i="24"/>
  <c r="I62" i="6"/>
  <c r="I62" i="8"/>
  <c r="I56" i="31"/>
  <c r="I56" i="28"/>
  <c r="I61" i="4"/>
  <c r="I60" i="25"/>
  <c r="F58" i="27"/>
  <c r="G58" i="27" s="1"/>
  <c r="B58" i="27"/>
  <c r="I63" i="11"/>
  <c r="I55" i="30"/>
  <c r="I65" i="10"/>
  <c r="I57" i="27"/>
  <c r="D54" i="46"/>
  <c r="B65" i="7"/>
  <c r="F62" i="3"/>
  <c r="H62" i="3" s="1"/>
  <c r="B62" i="3"/>
  <c r="F59" i="24"/>
  <c r="H59" i="24" s="1"/>
  <c r="B59" i="24"/>
  <c r="F52" i="43"/>
  <c r="H52" i="43" s="1"/>
  <c r="B52" i="43"/>
  <c r="B56" i="30"/>
  <c r="D55" i="13"/>
  <c r="E55" i="13" s="1"/>
  <c r="D65" i="9"/>
  <c r="F54" i="38"/>
  <c r="G54" i="38" s="1"/>
  <c r="B54" i="38"/>
  <c r="B57" i="28"/>
  <c r="I59" i="23"/>
  <c r="F53" i="42"/>
  <c r="B53" i="42"/>
  <c r="G53" i="46"/>
  <c r="I64" i="7"/>
  <c r="I61" i="3"/>
  <c r="B63" i="6"/>
  <c r="F62" i="5"/>
  <c r="H62" i="5" s="1"/>
  <c r="B62" i="5"/>
  <c r="B61" i="22"/>
  <c r="B57" i="29"/>
  <c r="H53" i="46"/>
  <c r="B55" i="37"/>
  <c r="F55" i="37"/>
  <c r="H55" i="37" s="1"/>
  <c r="E65" i="7"/>
  <c r="F65" i="7" s="1"/>
  <c r="G65" i="7" s="1"/>
  <c r="B63" i="8"/>
  <c r="B64" i="11"/>
  <c r="F54" i="45"/>
  <c r="G54" i="45" s="1"/>
  <c r="B54" i="45"/>
  <c r="G54" i="13"/>
  <c r="I54" i="13" s="1"/>
  <c r="B54" i="39"/>
  <c r="F54" i="39"/>
  <c r="G54" i="39" s="1"/>
  <c r="I56" i="29"/>
  <c r="F53" i="41"/>
  <c r="B53" i="41"/>
  <c r="B61" i="25"/>
  <c r="B62" i="4"/>
  <c r="B57" i="31"/>
  <c r="B60" i="23"/>
  <c r="B53" i="40"/>
  <c r="F53" i="40"/>
  <c r="G53" i="40" s="1"/>
  <c r="B66" i="10"/>
  <c r="F66" i="10"/>
  <c r="H66" i="10" s="1"/>
  <c r="B136" i="13"/>
  <c r="E136" i="13"/>
  <c r="F136" i="13" s="1"/>
  <c r="H135" i="13"/>
  <c r="I135" i="13"/>
  <c r="F64" i="47" l="1"/>
  <c r="H64" i="47" s="1"/>
  <c r="B64" i="47"/>
  <c r="G57" i="31"/>
  <c r="G56" i="30"/>
  <c r="G57" i="29"/>
  <c r="G57" i="28"/>
  <c r="H58" i="27"/>
  <c r="H61" i="25"/>
  <c r="G59" i="24"/>
  <c r="G60" i="23"/>
  <c r="G61" i="22"/>
  <c r="G64" i="11"/>
  <c r="G66" i="10"/>
  <c r="G63" i="8"/>
  <c r="H65" i="7"/>
  <c r="G63" i="6"/>
  <c r="G62" i="5"/>
  <c r="G62" i="4"/>
  <c r="G62" i="3"/>
  <c r="G54" i="44"/>
  <c r="H54" i="44"/>
  <c r="D55" i="44"/>
  <c r="G55" i="37"/>
  <c r="I55" i="37" s="1"/>
  <c r="I64" i="9"/>
  <c r="G52" i="43"/>
  <c r="I52" i="43" s="1"/>
  <c r="I53" i="46"/>
  <c r="H54" i="38"/>
  <c r="I54" i="38" s="1"/>
  <c r="H54" i="39"/>
  <c r="I54" i="39" s="1"/>
  <c r="D59" i="27"/>
  <c r="D66" i="7"/>
  <c r="D58" i="31"/>
  <c r="D62" i="25"/>
  <c r="E62" i="25"/>
  <c r="D54" i="41"/>
  <c r="E54" i="41"/>
  <c r="D62" i="22"/>
  <c r="E62" i="22" s="1"/>
  <c r="D64" i="6"/>
  <c r="D54" i="42"/>
  <c r="E54" i="42" s="1"/>
  <c r="B65" i="9"/>
  <c r="D61" i="23"/>
  <c r="E61" i="23" s="1"/>
  <c r="D63" i="4"/>
  <c r="E65" i="9"/>
  <c r="F65" i="9" s="1"/>
  <c r="H65" i="9" s="1"/>
  <c r="B55" i="13"/>
  <c r="F55" i="13"/>
  <c r="G55" i="13" s="1"/>
  <c r="D60" i="24"/>
  <c r="D54" i="40"/>
  <c r="E54" i="40" s="1"/>
  <c r="G53" i="41"/>
  <c r="D55" i="45"/>
  <c r="E55" i="45" s="1"/>
  <c r="D64" i="8"/>
  <c r="E56" i="37"/>
  <c r="D56" i="37"/>
  <c r="D58" i="29"/>
  <c r="D63" i="5"/>
  <c r="G53" i="42"/>
  <c r="D58" i="28"/>
  <c r="D57" i="30"/>
  <c r="B54" i="46"/>
  <c r="D67" i="10"/>
  <c r="H53" i="40"/>
  <c r="I53" i="40" s="1"/>
  <c r="H53" i="41"/>
  <c r="D55" i="39"/>
  <c r="E55" i="39" s="1"/>
  <c r="H54" i="45"/>
  <c r="I54" i="45" s="1"/>
  <c r="D65" i="11"/>
  <c r="H53" i="42"/>
  <c r="D55" i="38"/>
  <c r="E55" i="38"/>
  <c r="D53" i="43"/>
  <c r="E53" i="43"/>
  <c r="D63" i="3"/>
  <c r="E54" i="46"/>
  <c r="F54" i="46" s="1"/>
  <c r="G136" i="13"/>
  <c r="D137" i="13"/>
  <c r="D65" i="47" l="1"/>
  <c r="E65" i="47" s="1"/>
  <c r="G64" i="47"/>
  <c r="I64" i="47" s="1"/>
  <c r="E58" i="31"/>
  <c r="E57" i="30"/>
  <c r="F57" i="30" s="1"/>
  <c r="H57" i="30" s="1"/>
  <c r="E58" i="29"/>
  <c r="F58" i="29" s="1"/>
  <c r="H58" i="29" s="1"/>
  <c r="E58" i="28"/>
  <c r="F58" i="28" s="1"/>
  <c r="G58" i="28" s="1"/>
  <c r="E59" i="27"/>
  <c r="F59" i="27" s="1"/>
  <c r="H59" i="27" s="1"/>
  <c r="E60" i="24"/>
  <c r="F60" i="24" s="1"/>
  <c r="H60" i="24" s="1"/>
  <c r="E65" i="11"/>
  <c r="F65" i="11" s="1"/>
  <c r="H65" i="11" s="1"/>
  <c r="E67" i="10"/>
  <c r="F67" i="10" s="1"/>
  <c r="G67" i="10" s="1"/>
  <c r="G65" i="9"/>
  <c r="E64" i="8"/>
  <c r="F64" i="8" s="1"/>
  <c r="H64" i="8" s="1"/>
  <c r="E66" i="7"/>
  <c r="F66" i="7" s="1"/>
  <c r="H66" i="7" s="1"/>
  <c r="E64" i="6"/>
  <c r="F64" i="6" s="1"/>
  <c r="H64" i="6" s="1"/>
  <c r="E63" i="5"/>
  <c r="F63" i="5" s="1"/>
  <c r="G63" i="5" s="1"/>
  <c r="E63" i="4"/>
  <c r="F63" i="4" s="1"/>
  <c r="H63" i="4" s="1"/>
  <c r="E63" i="3"/>
  <c r="F63" i="3" s="1"/>
  <c r="H63" i="3" s="1"/>
  <c r="I53" i="41"/>
  <c r="I54" i="44"/>
  <c r="E55" i="44"/>
  <c r="F55" i="44" s="1"/>
  <c r="B55" i="44"/>
  <c r="I62" i="4"/>
  <c r="I60" i="23"/>
  <c r="I53" i="42"/>
  <c r="I57" i="31"/>
  <c r="I65" i="7"/>
  <c r="I57" i="29"/>
  <c r="B59" i="27"/>
  <c r="I56" i="30"/>
  <c r="I57" i="28"/>
  <c r="H55" i="13"/>
  <c r="I55" i="13" s="1"/>
  <c r="I63" i="6"/>
  <c r="I61" i="25"/>
  <c r="I58" i="27"/>
  <c r="D66" i="9"/>
  <c r="D55" i="46"/>
  <c r="G54" i="46"/>
  <c r="H54" i="46"/>
  <c r="I64" i="11"/>
  <c r="F55" i="39"/>
  <c r="B55" i="39"/>
  <c r="I66" i="10"/>
  <c r="B58" i="29"/>
  <c r="F54" i="40"/>
  <c r="H54" i="40" s="1"/>
  <c r="B54" i="40"/>
  <c r="I59" i="24"/>
  <c r="F62" i="22"/>
  <c r="H62" i="22" s="1"/>
  <c r="B62" i="22"/>
  <c r="B53" i="43"/>
  <c r="F53" i="43"/>
  <c r="H53" i="43" s="1"/>
  <c r="B63" i="5"/>
  <c r="B64" i="8"/>
  <c r="F55" i="45"/>
  <c r="B55" i="45"/>
  <c r="F54" i="42"/>
  <c r="G54" i="42" s="1"/>
  <c r="B54" i="42"/>
  <c r="I61" i="22"/>
  <c r="I62" i="3"/>
  <c r="B57" i="30"/>
  <c r="B58" i="28"/>
  <c r="B56" i="37"/>
  <c r="F56" i="37"/>
  <c r="G56" i="37" s="1"/>
  <c r="I63" i="8"/>
  <c r="B60" i="24"/>
  <c r="D56" i="13"/>
  <c r="E56" i="13" s="1"/>
  <c r="B63" i="4"/>
  <c r="F61" i="23"/>
  <c r="H61" i="23" s="1"/>
  <c r="B61" i="23"/>
  <c r="B58" i="31"/>
  <c r="F58" i="31"/>
  <c r="H58" i="31" s="1"/>
  <c r="B63" i="3"/>
  <c r="B55" i="38"/>
  <c r="F55" i="38"/>
  <c r="G55" i="38" s="1"/>
  <c r="B65" i="11"/>
  <c r="B67" i="10"/>
  <c r="B64" i="6"/>
  <c r="B54" i="41"/>
  <c r="F54" i="41"/>
  <c r="H54" i="41" s="1"/>
  <c r="B62" i="25"/>
  <c r="F62" i="25"/>
  <c r="H62" i="25" s="1"/>
  <c r="B66" i="7"/>
  <c r="B137" i="13"/>
  <c r="H136" i="13"/>
  <c r="I136" i="13"/>
  <c r="E137" i="13"/>
  <c r="F137" i="13" s="1"/>
  <c r="F65" i="47" l="1"/>
  <c r="B65" i="47"/>
  <c r="G59" i="27"/>
  <c r="G58" i="31"/>
  <c r="G57" i="30"/>
  <c r="G58" i="29"/>
  <c r="H58" i="28"/>
  <c r="G62" i="25"/>
  <c r="G60" i="24"/>
  <c r="G61" i="23"/>
  <c r="G62" i="22"/>
  <c r="G65" i="11"/>
  <c r="H67" i="10"/>
  <c r="G64" i="8"/>
  <c r="G66" i="7"/>
  <c r="G64" i="6"/>
  <c r="H63" i="5"/>
  <c r="G63" i="4"/>
  <c r="G63" i="3"/>
  <c r="H55" i="44"/>
  <c r="D56" i="44"/>
  <c r="G55" i="44"/>
  <c r="I54" i="46"/>
  <c r="I65" i="9"/>
  <c r="G54" i="41"/>
  <c r="I54" i="41" s="1"/>
  <c r="H56" i="37"/>
  <c r="I56" i="37" s="1"/>
  <c r="H55" i="38"/>
  <c r="I55" i="38" s="1"/>
  <c r="D60" i="27"/>
  <c r="D64" i="4"/>
  <c r="D56" i="45"/>
  <c r="E56" i="45" s="1"/>
  <c r="D56" i="39"/>
  <c r="E56" i="39" s="1"/>
  <c r="B66" i="9"/>
  <c r="D67" i="7"/>
  <c r="D63" i="25"/>
  <c r="D56" i="38"/>
  <c r="E56" i="38" s="1"/>
  <c r="D64" i="3"/>
  <c r="D58" i="30"/>
  <c r="E58" i="30"/>
  <c r="G55" i="45"/>
  <c r="D65" i="8"/>
  <c r="D59" i="29"/>
  <c r="E59" i="29"/>
  <c r="G55" i="39"/>
  <c r="E66" i="9"/>
  <c r="F66" i="9" s="1"/>
  <c r="H66" i="9" s="1"/>
  <c r="D68" i="10"/>
  <c r="D62" i="23"/>
  <c r="B56" i="13"/>
  <c r="F56" i="13"/>
  <c r="H56" i="13" s="1"/>
  <c r="D57" i="37"/>
  <c r="E57" i="37" s="1"/>
  <c r="D59" i="28"/>
  <c r="D55" i="42"/>
  <c r="E55" i="42" s="1"/>
  <c r="D54" i="43"/>
  <c r="E54" i="43" s="1"/>
  <c r="D63" i="22"/>
  <c r="D55" i="40"/>
  <c r="E55" i="40" s="1"/>
  <c r="H55" i="39"/>
  <c r="B55" i="46"/>
  <c r="D55" i="41"/>
  <c r="E55" i="41" s="1"/>
  <c r="D65" i="6"/>
  <c r="D66" i="11"/>
  <c r="D59" i="31"/>
  <c r="D61" i="24"/>
  <c r="H54" i="42"/>
  <c r="I54" i="42" s="1"/>
  <c r="H55" i="45"/>
  <c r="D64" i="5"/>
  <c r="G53" i="43"/>
  <c r="I53" i="43" s="1"/>
  <c r="G54" i="40"/>
  <c r="I54" i="40" s="1"/>
  <c r="E55" i="46"/>
  <c r="F55" i="46" s="1"/>
  <c r="G137" i="13"/>
  <c r="D138" i="13"/>
  <c r="D66" i="47" l="1"/>
  <c r="G65" i="47"/>
  <c r="H65" i="47"/>
  <c r="I65" i="47" s="1"/>
  <c r="I55" i="44"/>
  <c r="E59" i="31"/>
  <c r="F59" i="31" s="1"/>
  <c r="G59" i="31" s="1"/>
  <c r="E59" i="28"/>
  <c r="F59" i="28" s="1"/>
  <c r="H59" i="28" s="1"/>
  <c r="E60" i="27"/>
  <c r="F60" i="27" s="1"/>
  <c r="H60" i="27" s="1"/>
  <c r="E63" i="25"/>
  <c r="F63" i="25" s="1"/>
  <c r="G63" i="25" s="1"/>
  <c r="E61" i="24"/>
  <c r="E62" i="23"/>
  <c r="E63" i="22"/>
  <c r="F63" i="22" s="1"/>
  <c r="H63" i="22" s="1"/>
  <c r="E66" i="11"/>
  <c r="G66" i="9"/>
  <c r="I66" i="9" s="1"/>
  <c r="E65" i="6"/>
  <c r="E64" i="5"/>
  <c r="F64" i="5" s="1"/>
  <c r="H64" i="5" s="1"/>
  <c r="E64" i="3"/>
  <c r="F64" i="3" s="1"/>
  <c r="G64" i="3" s="1"/>
  <c r="E56" i="44"/>
  <c r="F56" i="44" s="1"/>
  <c r="B56" i="44"/>
  <c r="I61" i="23"/>
  <c r="I55" i="45"/>
  <c r="G56" i="13"/>
  <c r="I60" i="24"/>
  <c r="I67" i="10"/>
  <c r="I59" i="27"/>
  <c r="I58" i="31"/>
  <c r="I63" i="3"/>
  <c r="I62" i="25"/>
  <c r="I58" i="28"/>
  <c r="I57" i="30"/>
  <c r="I64" i="6"/>
  <c r="B60" i="27"/>
  <c r="D67" i="9"/>
  <c r="D56" i="46"/>
  <c r="E56" i="46" s="1"/>
  <c r="G55" i="46"/>
  <c r="H55" i="46"/>
  <c r="F66" i="11"/>
  <c r="H66" i="11" s="1"/>
  <c r="B66" i="11"/>
  <c r="F62" i="23"/>
  <c r="H62" i="23" s="1"/>
  <c r="B62" i="23"/>
  <c r="B68" i="10"/>
  <c r="B63" i="25"/>
  <c r="B55" i="40"/>
  <c r="F55" i="40"/>
  <c r="H55" i="40" s="1"/>
  <c r="B63" i="22"/>
  <c r="B59" i="28"/>
  <c r="B57" i="37"/>
  <c r="F57" i="37"/>
  <c r="B59" i="29"/>
  <c r="F59" i="29"/>
  <c r="H59" i="29" s="1"/>
  <c r="B65" i="8"/>
  <c r="B64" i="3"/>
  <c r="B56" i="38"/>
  <c r="F56" i="38"/>
  <c r="G56" i="38" s="1"/>
  <c r="B67" i="7"/>
  <c r="F56" i="39"/>
  <c r="H56" i="39" s="1"/>
  <c r="B56" i="39"/>
  <c r="B64" i="4"/>
  <c r="B61" i="24"/>
  <c r="F61" i="24"/>
  <c r="G61" i="24" s="1"/>
  <c r="B59" i="31"/>
  <c r="I65" i="11"/>
  <c r="B55" i="41"/>
  <c r="F55" i="41"/>
  <c r="H55" i="41" s="1"/>
  <c r="I56" i="13"/>
  <c r="E68" i="10"/>
  <c r="F68" i="10" s="1"/>
  <c r="H68" i="10" s="1"/>
  <c r="I64" i="8"/>
  <c r="F58" i="30"/>
  <c r="H58" i="30" s="1"/>
  <c r="B58" i="30"/>
  <c r="E67" i="7"/>
  <c r="F67" i="7" s="1"/>
  <c r="H67" i="7" s="1"/>
  <c r="I63" i="4"/>
  <c r="B64" i="5"/>
  <c r="F65" i="6"/>
  <c r="H65" i="6" s="1"/>
  <c r="B65" i="6"/>
  <c r="I55" i="39"/>
  <c r="I62" i="22"/>
  <c r="F54" i="43"/>
  <c r="H54" i="43" s="1"/>
  <c r="B54" i="43"/>
  <c r="B55" i="42"/>
  <c r="F55" i="42"/>
  <c r="G55" i="42" s="1"/>
  <c r="D57" i="13"/>
  <c r="E57" i="13" s="1"/>
  <c r="I58" i="29"/>
  <c r="E65" i="8"/>
  <c r="F65" i="8" s="1"/>
  <c r="H65" i="8" s="1"/>
  <c r="I66" i="7"/>
  <c r="B56" i="45"/>
  <c r="F56" i="45"/>
  <c r="H56" i="45" s="1"/>
  <c r="E64" i="4"/>
  <c r="F64" i="4" s="1"/>
  <c r="H64" i="4" s="1"/>
  <c r="B138" i="13"/>
  <c r="H137" i="13"/>
  <c r="I137" i="13"/>
  <c r="E138" i="13"/>
  <c r="F138" i="13" s="1"/>
  <c r="B66" i="47" l="1"/>
  <c r="E66" i="47"/>
  <c r="F66" i="47" s="1"/>
  <c r="G66" i="11"/>
  <c r="G59" i="28"/>
  <c r="G60" i="27"/>
  <c r="H59" i="31"/>
  <c r="G58" i="30"/>
  <c r="G59" i="29"/>
  <c r="H63" i="25"/>
  <c r="H61" i="24"/>
  <c r="G62" i="23"/>
  <c r="G63" i="22"/>
  <c r="G68" i="10"/>
  <c r="E67" i="9"/>
  <c r="F67" i="9" s="1"/>
  <c r="G65" i="8"/>
  <c r="G67" i="7"/>
  <c r="G65" i="6"/>
  <c r="G64" i="5"/>
  <c r="G64" i="4"/>
  <c r="H64" i="3"/>
  <c r="I55" i="46"/>
  <c r="D57" i="44"/>
  <c r="G56" i="44"/>
  <c r="H56" i="44"/>
  <c r="G56" i="39"/>
  <c r="I56" i="39" s="1"/>
  <c r="G56" i="45"/>
  <c r="I56" i="45" s="1"/>
  <c r="G54" i="43"/>
  <c r="I54" i="43" s="1"/>
  <c r="D61" i="27"/>
  <c r="D65" i="4"/>
  <c r="D68" i="7"/>
  <c r="D69" i="10"/>
  <c r="D66" i="8"/>
  <c r="D62" i="24"/>
  <c r="E62" i="24" s="1"/>
  <c r="D58" i="37"/>
  <c r="E58" i="37" s="1"/>
  <c r="D60" i="28"/>
  <c r="E60" i="28" s="1"/>
  <c r="D56" i="42"/>
  <c r="E56" i="42" s="1"/>
  <c r="D59" i="30"/>
  <c r="D56" i="41"/>
  <c r="E56" i="41"/>
  <c r="H56" i="38"/>
  <c r="I56" i="38" s="1"/>
  <c r="G57" i="37"/>
  <c r="D56" i="40"/>
  <c r="E56" i="40" s="1"/>
  <c r="D64" i="25"/>
  <c r="E64" i="25" s="1"/>
  <c r="D63" i="23"/>
  <c r="B67" i="9"/>
  <c r="D57" i="45"/>
  <c r="E57" i="45" s="1"/>
  <c r="F57" i="13"/>
  <c r="H57" i="13" s="1"/>
  <c r="B57" i="13"/>
  <c r="D55" i="43"/>
  <c r="E55" i="43" s="1"/>
  <c r="D66" i="6"/>
  <c r="G55" i="41"/>
  <c r="I55" i="41" s="1"/>
  <c r="D57" i="39"/>
  <c r="E57" i="39" s="1"/>
  <c r="D60" i="29"/>
  <c r="E60" i="29"/>
  <c r="H57" i="37"/>
  <c r="D64" i="22"/>
  <c r="H55" i="42"/>
  <c r="I55" i="42" s="1"/>
  <c r="D65" i="5"/>
  <c r="D60" i="31"/>
  <c r="D57" i="38"/>
  <c r="E57" i="38"/>
  <c r="D65" i="3"/>
  <c r="G55" i="40"/>
  <c r="I55" i="40" s="1"/>
  <c r="D67" i="11"/>
  <c r="F56" i="46"/>
  <c r="H56" i="46" s="1"/>
  <c r="B56" i="46"/>
  <c r="G138" i="13"/>
  <c r="D139" i="13"/>
  <c r="E139" i="13" s="1"/>
  <c r="D67" i="47" l="1"/>
  <c r="E67" i="47"/>
  <c r="H66" i="47"/>
  <c r="G66" i="47"/>
  <c r="I56" i="44"/>
  <c r="I57" i="37"/>
  <c r="E60" i="31"/>
  <c r="F60" i="31" s="1"/>
  <c r="G60" i="31" s="1"/>
  <c r="E59" i="30"/>
  <c r="F59" i="30" s="1"/>
  <c r="H59" i="30" s="1"/>
  <c r="E63" i="23"/>
  <c r="F63" i="23" s="1"/>
  <c r="G63" i="23" s="1"/>
  <c r="E64" i="22"/>
  <c r="F64" i="22" s="1"/>
  <c r="H64" i="22" s="1"/>
  <c r="E67" i="11"/>
  <c r="F67" i="11" s="1"/>
  <c r="G67" i="11" s="1"/>
  <c r="E69" i="10"/>
  <c r="F69" i="10" s="1"/>
  <c r="G69" i="10" s="1"/>
  <c r="H67" i="9"/>
  <c r="G67" i="9"/>
  <c r="E66" i="8"/>
  <c r="E68" i="7"/>
  <c r="F68" i="7" s="1"/>
  <c r="H68" i="7" s="1"/>
  <c r="E66" i="6"/>
  <c r="E65" i="5"/>
  <c r="E65" i="4"/>
  <c r="E65" i="3"/>
  <c r="F65" i="3" s="1"/>
  <c r="G65" i="3" s="1"/>
  <c r="I58" i="30"/>
  <c r="E57" i="44"/>
  <c r="F57" i="44" s="1"/>
  <c r="B57" i="44"/>
  <c r="I60" i="27"/>
  <c r="I64" i="3"/>
  <c r="I62" i="23"/>
  <c r="I67" i="7"/>
  <c r="G56" i="46"/>
  <c r="I56" i="46" s="1"/>
  <c r="I63" i="25"/>
  <c r="I63" i="22"/>
  <c r="E61" i="27"/>
  <c r="F61" i="27" s="1"/>
  <c r="H61" i="27" s="1"/>
  <c r="B61" i="27"/>
  <c r="I66" i="11"/>
  <c r="I59" i="31"/>
  <c r="I59" i="29"/>
  <c r="F64" i="25"/>
  <c r="H64" i="25" s="1"/>
  <c r="B64" i="25"/>
  <c r="I61" i="24"/>
  <c r="D57" i="46"/>
  <c r="E57" i="46" s="1"/>
  <c r="B60" i="31"/>
  <c r="B55" i="43"/>
  <c r="F55" i="43"/>
  <c r="G55" i="43" s="1"/>
  <c r="D58" i="13"/>
  <c r="D68" i="9"/>
  <c r="B59" i="30"/>
  <c r="B56" i="42"/>
  <c r="F56" i="42"/>
  <c r="B58" i="37"/>
  <c r="F58" i="37"/>
  <c r="F62" i="24"/>
  <c r="H62" i="24" s="1"/>
  <c r="B62" i="24"/>
  <c r="B67" i="11"/>
  <c r="B65" i="3"/>
  <c r="F57" i="38"/>
  <c r="G57" i="38" s="1"/>
  <c r="B57" i="38"/>
  <c r="B65" i="5"/>
  <c r="F65" i="5"/>
  <c r="G65" i="5" s="1"/>
  <c r="B57" i="39"/>
  <c r="F57" i="39"/>
  <c r="G57" i="39" s="1"/>
  <c r="I65" i="6"/>
  <c r="B60" i="28"/>
  <c r="F60" i="28"/>
  <c r="G60" i="28" s="1"/>
  <c r="F66" i="8"/>
  <c r="H66" i="8" s="1"/>
  <c r="B66" i="8"/>
  <c r="B69" i="10"/>
  <c r="B65" i="4"/>
  <c r="F65" i="4"/>
  <c r="G65" i="4" s="1"/>
  <c r="B64" i="22"/>
  <c r="B60" i="29"/>
  <c r="F60" i="29"/>
  <c r="H60" i="29" s="1"/>
  <c r="F66" i="6"/>
  <c r="H66" i="6" s="1"/>
  <c r="B66" i="6"/>
  <c r="G57" i="13"/>
  <c r="I57" i="13" s="1"/>
  <c r="B57" i="45"/>
  <c r="F57" i="45"/>
  <c r="B63" i="23"/>
  <c r="F56" i="40"/>
  <c r="H56" i="40" s="1"/>
  <c r="B56" i="40"/>
  <c r="B56" i="41"/>
  <c r="F56" i="41"/>
  <c r="G56" i="41" s="1"/>
  <c r="I59" i="28"/>
  <c r="I65" i="8"/>
  <c r="I68" i="10"/>
  <c r="B68" i="7"/>
  <c r="I64" i="4"/>
  <c r="I138" i="13"/>
  <c r="H138" i="13"/>
  <c r="B139" i="13"/>
  <c r="F139" i="13"/>
  <c r="I66" i="47" l="1"/>
  <c r="F67" i="47"/>
  <c r="B67" i="47"/>
  <c r="G67" i="47"/>
  <c r="H60" i="31"/>
  <c r="G59" i="30"/>
  <c r="G60" i="29"/>
  <c r="H60" i="28"/>
  <c r="G61" i="27"/>
  <c r="G64" i="25"/>
  <c r="G62" i="24"/>
  <c r="H63" i="23"/>
  <c r="G64" i="22"/>
  <c r="H67" i="11"/>
  <c r="H69" i="10"/>
  <c r="E68" i="9"/>
  <c r="G66" i="8"/>
  <c r="G68" i="7"/>
  <c r="G66" i="6"/>
  <c r="H65" i="5"/>
  <c r="H65" i="4"/>
  <c r="H65" i="3"/>
  <c r="H57" i="44"/>
  <c r="D58" i="44"/>
  <c r="G57" i="44"/>
  <c r="D62" i="27"/>
  <c r="H56" i="41"/>
  <c r="I56" i="41" s="1"/>
  <c r="G56" i="40"/>
  <c r="I56" i="40" s="1"/>
  <c r="D58" i="45"/>
  <c r="E58" i="45" s="1"/>
  <c r="D67" i="8"/>
  <c r="D66" i="5"/>
  <c r="D68" i="11"/>
  <c r="E59" i="37"/>
  <c r="D59" i="37"/>
  <c r="D57" i="42"/>
  <c r="E57" i="42" s="1"/>
  <c r="D61" i="31"/>
  <c r="D57" i="40"/>
  <c r="E57" i="40"/>
  <c r="H57" i="45"/>
  <c r="D65" i="22"/>
  <c r="D61" i="28"/>
  <c r="D58" i="39"/>
  <c r="E58" i="39" s="1"/>
  <c r="D58" i="38"/>
  <c r="E58" i="38" s="1"/>
  <c r="H58" i="37"/>
  <c r="H56" i="42"/>
  <c r="D60" i="30"/>
  <c r="B68" i="9"/>
  <c r="F68" i="9"/>
  <c r="H68" i="9" s="1"/>
  <c r="D56" i="43"/>
  <c r="E56" i="43" s="1"/>
  <c r="D69" i="7"/>
  <c r="G57" i="45"/>
  <c r="D67" i="6"/>
  <c r="D70" i="10"/>
  <c r="H57" i="39"/>
  <c r="I57" i="39" s="1"/>
  <c r="H57" i="38"/>
  <c r="I57" i="38" s="1"/>
  <c r="D66" i="3"/>
  <c r="G58" i="37"/>
  <c r="G56" i="42"/>
  <c r="B58" i="13"/>
  <c r="H55" i="43"/>
  <c r="I55" i="43" s="1"/>
  <c r="D57" i="41"/>
  <c r="E57" i="41" s="1"/>
  <c r="D64" i="23"/>
  <c r="D61" i="29"/>
  <c r="E61" i="29" s="1"/>
  <c r="D66" i="4"/>
  <c r="D63" i="24"/>
  <c r="I67" i="9"/>
  <c r="E58" i="13"/>
  <c r="F58" i="13" s="1"/>
  <c r="F57" i="46"/>
  <c r="H57" i="46" s="1"/>
  <c r="B57" i="46"/>
  <c r="D65" i="25"/>
  <c r="G139" i="13"/>
  <c r="D140" i="13"/>
  <c r="E140" i="13" s="1"/>
  <c r="D68" i="47" l="1"/>
  <c r="E68" i="47"/>
  <c r="H67" i="47"/>
  <c r="I67" i="47" s="1"/>
  <c r="E61" i="31"/>
  <c r="F61" i="31" s="1"/>
  <c r="H61" i="31" s="1"/>
  <c r="E60" i="30"/>
  <c r="E61" i="28"/>
  <c r="B62" i="27"/>
  <c r="E65" i="25"/>
  <c r="F65" i="25" s="1"/>
  <c r="G65" i="25" s="1"/>
  <c r="E63" i="24"/>
  <c r="F63" i="24" s="1"/>
  <c r="H63" i="24" s="1"/>
  <c r="E64" i="23"/>
  <c r="F64" i="23" s="1"/>
  <c r="H64" i="23" s="1"/>
  <c r="E65" i="22"/>
  <c r="F65" i="22" s="1"/>
  <c r="H65" i="22" s="1"/>
  <c r="G68" i="9"/>
  <c r="E67" i="8"/>
  <c r="F67" i="8" s="1"/>
  <c r="G67" i="8" s="1"/>
  <c r="E67" i="6"/>
  <c r="F67" i="6" s="1"/>
  <c r="H67" i="6" s="1"/>
  <c r="B58" i="44"/>
  <c r="E58" i="44"/>
  <c r="F58" i="44" s="1"/>
  <c r="I57" i="44"/>
  <c r="I65" i="4"/>
  <c r="I63" i="23"/>
  <c r="I66" i="8"/>
  <c r="I67" i="11"/>
  <c r="I61" i="27"/>
  <c r="I62" i="24"/>
  <c r="I60" i="29"/>
  <c r="I69" i="10"/>
  <c r="I64" i="22"/>
  <c r="E62" i="27"/>
  <c r="F62" i="27" s="1"/>
  <c r="H62" i="27" s="1"/>
  <c r="D59" i="13"/>
  <c r="E59" i="13" s="1"/>
  <c r="G58" i="13"/>
  <c r="H58" i="13"/>
  <c r="B70" i="10"/>
  <c r="F56" i="43"/>
  <c r="B56" i="43"/>
  <c r="I58" i="37"/>
  <c r="F58" i="39"/>
  <c r="G58" i="39" s="1"/>
  <c r="B58" i="39"/>
  <c r="B61" i="28"/>
  <c r="F61" i="28"/>
  <c r="H61" i="28" s="1"/>
  <c r="I60" i="31"/>
  <c r="F59" i="37"/>
  <c r="H59" i="37" s="1"/>
  <c r="B59" i="37"/>
  <c r="D58" i="46"/>
  <c r="B63" i="24"/>
  <c r="B66" i="4"/>
  <c r="B66" i="3"/>
  <c r="B69" i="7"/>
  <c r="D69" i="9"/>
  <c r="I59" i="30"/>
  <c r="I57" i="45"/>
  <c r="B61" i="31"/>
  <c r="B68" i="11"/>
  <c r="B66" i="5"/>
  <c r="B65" i="25"/>
  <c r="I64" i="25"/>
  <c r="G57" i="46"/>
  <c r="I57" i="46" s="1"/>
  <c r="E66" i="4"/>
  <c r="F66" i="4" s="1"/>
  <c r="H66" i="4" s="1"/>
  <c r="I65" i="3"/>
  <c r="I66" i="6"/>
  <c r="I68" i="7"/>
  <c r="F60" i="30"/>
  <c r="H60" i="30" s="1"/>
  <c r="B60" i="30"/>
  <c r="B58" i="38"/>
  <c r="F58" i="38"/>
  <c r="H58" i="38" s="1"/>
  <c r="I60" i="28"/>
  <c r="B65" i="22"/>
  <c r="E68" i="11"/>
  <c r="F68" i="11" s="1"/>
  <c r="H68" i="11" s="1"/>
  <c r="E66" i="5"/>
  <c r="F66" i="5" s="1"/>
  <c r="H66" i="5" s="1"/>
  <c r="B61" i="29"/>
  <c r="F61" i="29"/>
  <c r="H61" i="29" s="1"/>
  <c r="B64" i="23"/>
  <c r="B57" i="41"/>
  <c r="F57" i="41"/>
  <c r="E66" i="3"/>
  <c r="F66" i="3" s="1"/>
  <c r="H66" i="3" s="1"/>
  <c r="E70" i="10"/>
  <c r="F70" i="10" s="1"/>
  <c r="H70" i="10" s="1"/>
  <c r="B67" i="6"/>
  <c r="E69" i="7"/>
  <c r="F69" i="7" s="1"/>
  <c r="H69" i="7" s="1"/>
  <c r="I56" i="42"/>
  <c r="F57" i="40"/>
  <c r="G57" i="40" s="1"/>
  <c r="B57" i="40"/>
  <c r="B57" i="42"/>
  <c r="F57" i="42"/>
  <c r="G57" i="42" s="1"/>
  <c r="B67" i="8"/>
  <c r="F58" i="45"/>
  <c r="G58" i="45" s="1"/>
  <c r="B58" i="45"/>
  <c r="H139" i="13"/>
  <c r="I139" i="13"/>
  <c r="F140" i="13"/>
  <c r="B140" i="13"/>
  <c r="F68" i="47" l="1"/>
  <c r="H68" i="47" s="1"/>
  <c r="B68" i="47"/>
  <c r="G63" i="24"/>
  <c r="H58" i="45"/>
  <c r="I58" i="45" s="1"/>
  <c r="G61" i="31"/>
  <c r="G60" i="30"/>
  <c r="G61" i="29"/>
  <c r="G61" i="28"/>
  <c r="G62" i="27"/>
  <c r="H65" i="25"/>
  <c r="G64" i="23"/>
  <c r="G65" i="22"/>
  <c r="G68" i="11"/>
  <c r="G70" i="10"/>
  <c r="H67" i="8"/>
  <c r="G69" i="7"/>
  <c r="G67" i="6"/>
  <c r="G66" i="5"/>
  <c r="G66" i="4"/>
  <c r="I66" i="4" s="1"/>
  <c r="G66" i="3"/>
  <c r="H57" i="40"/>
  <c r="I57" i="40" s="1"/>
  <c r="H58" i="44"/>
  <c r="D59" i="44"/>
  <c r="G58" i="44"/>
  <c r="I68" i="9"/>
  <c r="H57" i="42"/>
  <c r="I57" i="42" s="1"/>
  <c r="H58" i="39"/>
  <c r="I58" i="39" s="1"/>
  <c r="G59" i="37"/>
  <c r="I59" i="37" s="1"/>
  <c r="G58" i="38"/>
  <c r="I58" i="38" s="1"/>
  <c r="I58" i="13"/>
  <c r="D63" i="27"/>
  <c r="D67" i="3"/>
  <c r="D67" i="5"/>
  <c r="D67" i="4"/>
  <c r="D70" i="7"/>
  <c r="D69" i="11"/>
  <c r="D71" i="10"/>
  <c r="D58" i="41"/>
  <c r="E58" i="41" s="1"/>
  <c r="D62" i="31"/>
  <c r="B69" i="9"/>
  <c r="B58" i="46"/>
  <c r="D57" i="43"/>
  <c r="E57" i="43" s="1"/>
  <c r="D58" i="40"/>
  <c r="E58" i="40"/>
  <c r="D68" i="6"/>
  <c r="H57" i="41"/>
  <c r="D65" i="23"/>
  <c r="E69" i="9"/>
  <c r="F69" i="9" s="1"/>
  <c r="H69" i="9" s="1"/>
  <c r="E58" i="46"/>
  <c r="F58" i="46" s="1"/>
  <c r="G56" i="43"/>
  <c r="D62" i="29"/>
  <c r="E62" i="29" s="1"/>
  <c r="D59" i="38"/>
  <c r="E59" i="38"/>
  <c r="D64" i="24"/>
  <c r="D68" i="8"/>
  <c r="D59" i="45"/>
  <c r="E59" i="45" s="1"/>
  <c r="D58" i="42"/>
  <c r="E58" i="42"/>
  <c r="G57" i="41"/>
  <c r="D66" i="22"/>
  <c r="D61" i="30"/>
  <c r="D66" i="25"/>
  <c r="D60" i="37"/>
  <c r="E60" i="37" s="1"/>
  <c r="D62" i="28"/>
  <c r="D59" i="39"/>
  <c r="E59" i="39" s="1"/>
  <c r="H56" i="43"/>
  <c r="B59" i="13"/>
  <c r="F59" i="13"/>
  <c r="G59" i="13" s="1"/>
  <c r="D141" i="13"/>
  <c r="G140" i="13"/>
  <c r="D69" i="47" l="1"/>
  <c r="G68" i="47"/>
  <c r="I68" i="47" s="1"/>
  <c r="E62" i="31"/>
  <c r="E61" i="30"/>
  <c r="F61" i="30" s="1"/>
  <c r="H61" i="30" s="1"/>
  <c r="E62" i="28"/>
  <c r="F62" i="28" s="1"/>
  <c r="H62" i="28" s="1"/>
  <c r="B63" i="27"/>
  <c r="E64" i="24"/>
  <c r="F64" i="24" s="1"/>
  <c r="H64" i="24" s="1"/>
  <c r="E65" i="23"/>
  <c r="E66" i="22"/>
  <c r="F66" i="22" s="1"/>
  <c r="H66" i="22" s="1"/>
  <c r="E69" i="11"/>
  <c r="F69" i="11" s="1"/>
  <c r="H69" i="11" s="1"/>
  <c r="E71" i="10"/>
  <c r="F71" i="10" s="1"/>
  <c r="G69" i="9"/>
  <c r="E70" i="7"/>
  <c r="F70" i="7" s="1"/>
  <c r="H70" i="7" s="1"/>
  <c r="E67" i="5"/>
  <c r="F67" i="5" s="1"/>
  <c r="H67" i="5" s="1"/>
  <c r="E67" i="4"/>
  <c r="F67" i="4" s="1"/>
  <c r="G67" i="4" s="1"/>
  <c r="E67" i="3"/>
  <c r="F67" i="3" s="1"/>
  <c r="H67" i="3" s="1"/>
  <c r="E59" i="44"/>
  <c r="F59" i="44" s="1"/>
  <c r="B59" i="44"/>
  <c r="I58" i="44"/>
  <c r="I56" i="43"/>
  <c r="H59" i="13"/>
  <c r="I59" i="13" s="1"/>
  <c r="I61" i="29"/>
  <c r="I62" i="27"/>
  <c r="I65" i="25"/>
  <c r="E63" i="27"/>
  <c r="F63" i="27" s="1"/>
  <c r="H63" i="27" s="1"/>
  <c r="I61" i="28"/>
  <c r="D59" i="46"/>
  <c r="E59" i="46" s="1"/>
  <c r="H58" i="46"/>
  <c r="G58" i="46"/>
  <c r="D70" i="9"/>
  <c r="B60" i="37"/>
  <c r="F60" i="37"/>
  <c r="G60" i="37" s="1"/>
  <c r="B66" i="25"/>
  <c r="B61" i="30"/>
  <c r="I65" i="22"/>
  <c r="B68" i="8"/>
  <c r="F59" i="38"/>
  <c r="H59" i="38" s="1"/>
  <c r="B59" i="38"/>
  <c r="B65" i="23"/>
  <c r="F65" i="23"/>
  <c r="G65" i="23" s="1"/>
  <c r="B68" i="6"/>
  <c r="I61" i="31"/>
  <c r="I70" i="10"/>
  <c r="E66" i="25"/>
  <c r="F66" i="25" s="1"/>
  <c r="H66" i="25" s="1"/>
  <c r="F59" i="45"/>
  <c r="H59" i="45" s="1"/>
  <c r="B59" i="45"/>
  <c r="I63" i="24"/>
  <c r="I57" i="41"/>
  <c r="I67" i="6"/>
  <c r="B62" i="31"/>
  <c r="F62" i="31"/>
  <c r="G62" i="31" s="1"/>
  <c r="B69" i="11"/>
  <c r="B70" i="7"/>
  <c r="D60" i="13"/>
  <c r="E60" i="13" s="1"/>
  <c r="B59" i="39"/>
  <c r="F59" i="39"/>
  <c r="H59" i="39" s="1"/>
  <c r="B62" i="28"/>
  <c r="I60" i="30"/>
  <c r="B66" i="22"/>
  <c r="I67" i="8"/>
  <c r="B64" i="24"/>
  <c r="B62" i="29"/>
  <c r="F62" i="29"/>
  <c r="H62" i="29" s="1"/>
  <c r="I64" i="23"/>
  <c r="E68" i="6"/>
  <c r="F68" i="6" s="1"/>
  <c r="H68" i="6" s="1"/>
  <c r="I68" i="11"/>
  <c r="I69" i="7"/>
  <c r="B67" i="5"/>
  <c r="I66" i="3"/>
  <c r="F58" i="42"/>
  <c r="H58" i="42" s="1"/>
  <c r="B58" i="42"/>
  <c r="E68" i="8"/>
  <c r="F68" i="8" s="1"/>
  <c r="H68" i="8" s="1"/>
  <c r="F58" i="40"/>
  <c r="H58" i="40" s="1"/>
  <c r="B58" i="40"/>
  <c r="B57" i="43"/>
  <c r="F57" i="43"/>
  <c r="G57" i="43" s="1"/>
  <c r="F58" i="41"/>
  <c r="G58" i="41" s="1"/>
  <c r="B58" i="41"/>
  <c r="B71" i="10"/>
  <c r="B67" i="4"/>
  <c r="B67" i="3"/>
  <c r="B141" i="13"/>
  <c r="H140" i="13"/>
  <c r="I140" i="13"/>
  <c r="E141" i="13"/>
  <c r="F141" i="13" s="1"/>
  <c r="B69" i="47" l="1"/>
  <c r="E69" i="47"/>
  <c r="F69" i="47" s="1"/>
  <c r="H62" i="31"/>
  <c r="G61" i="30"/>
  <c r="G62" i="29"/>
  <c r="G62" i="28"/>
  <c r="G63" i="27"/>
  <c r="G66" i="25"/>
  <c r="G64" i="24"/>
  <c r="H65" i="23"/>
  <c r="G66" i="22"/>
  <c r="G69" i="11"/>
  <c r="H71" i="10"/>
  <c r="G71" i="10"/>
  <c r="E70" i="9"/>
  <c r="F70" i="9" s="1"/>
  <c r="H70" i="9" s="1"/>
  <c r="G68" i="8"/>
  <c r="G70" i="7"/>
  <c r="G68" i="6"/>
  <c r="G67" i="5"/>
  <c r="H67" i="4"/>
  <c r="G67" i="3"/>
  <c r="G59" i="39"/>
  <c r="G59" i="44"/>
  <c r="H59" i="44"/>
  <c r="D60" i="44"/>
  <c r="G58" i="42"/>
  <c r="I58" i="42" s="1"/>
  <c r="G59" i="38"/>
  <c r="I59" i="38" s="1"/>
  <c r="H57" i="43"/>
  <c r="I57" i="43" s="1"/>
  <c r="I58" i="46"/>
  <c r="I59" i="39"/>
  <c r="D64" i="27"/>
  <c r="D69" i="6"/>
  <c r="D67" i="25"/>
  <c r="D69" i="8"/>
  <c r="D63" i="29"/>
  <c r="D63" i="28"/>
  <c r="D63" i="31"/>
  <c r="D60" i="45"/>
  <c r="E60" i="45" s="1"/>
  <c r="D61" i="37"/>
  <c r="E61" i="37" s="1"/>
  <c r="D68" i="4"/>
  <c r="H58" i="41"/>
  <c r="I58" i="41" s="1"/>
  <c r="D58" i="43"/>
  <c r="E58" i="43" s="1"/>
  <c r="D59" i="40"/>
  <c r="E59" i="40"/>
  <c r="D71" i="7"/>
  <c r="D62" i="30"/>
  <c r="D68" i="3"/>
  <c r="D72" i="10"/>
  <c r="G58" i="40"/>
  <c r="I58" i="40" s="1"/>
  <c r="D59" i="42"/>
  <c r="E59" i="42" s="1"/>
  <c r="D65" i="24"/>
  <c r="D67" i="22"/>
  <c r="D60" i="39"/>
  <c r="E60" i="39"/>
  <c r="D60" i="38"/>
  <c r="E60" i="38" s="1"/>
  <c r="H60" i="37"/>
  <c r="I60" i="37" s="1"/>
  <c r="B70" i="9"/>
  <c r="D59" i="41"/>
  <c r="E59" i="41" s="1"/>
  <c r="D68" i="5"/>
  <c r="B60" i="13"/>
  <c r="F60" i="13"/>
  <c r="H60" i="13" s="1"/>
  <c r="D70" i="11"/>
  <c r="G59" i="45"/>
  <c r="I59" i="45" s="1"/>
  <c r="D66" i="23"/>
  <c r="I69" i="9"/>
  <c r="B59" i="46"/>
  <c r="F59" i="46"/>
  <c r="H59" i="46" s="1"/>
  <c r="G141" i="13"/>
  <c r="D142" i="13"/>
  <c r="E142" i="13" s="1"/>
  <c r="D70" i="47" l="1"/>
  <c r="E70" i="47" s="1"/>
  <c r="H69" i="47"/>
  <c r="G69" i="47"/>
  <c r="I59" i="44"/>
  <c r="E62" i="30"/>
  <c r="F62" i="30" s="1"/>
  <c r="H62" i="30" s="1"/>
  <c r="E63" i="29"/>
  <c r="F63" i="29" s="1"/>
  <c r="H63" i="29" s="1"/>
  <c r="E64" i="27"/>
  <c r="F64" i="27" s="1"/>
  <c r="G64" i="27" s="1"/>
  <c r="E67" i="25"/>
  <c r="F67" i="25" s="1"/>
  <c r="G67" i="25" s="1"/>
  <c r="E65" i="24"/>
  <c r="E66" i="23"/>
  <c r="F66" i="23" s="1"/>
  <c r="H66" i="23" s="1"/>
  <c r="E67" i="22"/>
  <c r="F67" i="22" s="1"/>
  <c r="H67" i="22" s="1"/>
  <c r="E70" i="11"/>
  <c r="F70" i="11" s="1"/>
  <c r="H70" i="11" s="1"/>
  <c r="E72" i="10"/>
  <c r="E73" i="10" s="1"/>
  <c r="G70" i="9"/>
  <c r="E69" i="8"/>
  <c r="F69" i="8" s="1"/>
  <c r="H69" i="8" s="1"/>
  <c r="E71" i="7"/>
  <c r="F71" i="7" s="1"/>
  <c r="H71" i="7" s="1"/>
  <c r="E69" i="6"/>
  <c r="F69" i="6" s="1"/>
  <c r="G69" i="6" s="1"/>
  <c r="E68" i="5"/>
  <c r="F68" i="5" s="1"/>
  <c r="H68" i="5" s="1"/>
  <c r="E68" i="4"/>
  <c r="F68" i="4" s="1"/>
  <c r="G68" i="4" s="1"/>
  <c r="E68" i="3"/>
  <c r="F68" i="3" s="1"/>
  <c r="H68" i="3" s="1"/>
  <c r="E60" i="44"/>
  <c r="F60" i="44" s="1"/>
  <c r="B60" i="44"/>
  <c r="I64" i="24"/>
  <c r="I67" i="3"/>
  <c r="I66" i="22"/>
  <c r="I70" i="7"/>
  <c r="I71" i="10"/>
  <c r="G59" i="46"/>
  <c r="I59" i="46" s="1"/>
  <c r="I61" i="30"/>
  <c r="B64" i="27"/>
  <c r="I62" i="29"/>
  <c r="I68" i="8"/>
  <c r="I63" i="27"/>
  <c r="D61" i="13"/>
  <c r="E61" i="13" s="1"/>
  <c r="D71" i="9"/>
  <c r="F60" i="38"/>
  <c r="G60" i="38" s="1"/>
  <c r="B60" i="38"/>
  <c r="F60" i="39"/>
  <c r="G60" i="39" s="1"/>
  <c r="B60" i="39"/>
  <c r="B72" i="10"/>
  <c r="B71" i="7"/>
  <c r="B58" i="43"/>
  <c r="F58" i="43"/>
  <c r="H58" i="43" s="1"/>
  <c r="I67" i="4"/>
  <c r="I62" i="28"/>
  <c r="B63" i="29"/>
  <c r="I65" i="23"/>
  <c r="B70" i="11"/>
  <c r="B63" i="31"/>
  <c r="B67" i="25"/>
  <c r="B69" i="6"/>
  <c r="B67" i="22"/>
  <c r="F59" i="42"/>
  <c r="H59" i="42" s="1"/>
  <c r="B59" i="42"/>
  <c r="B68" i="3"/>
  <c r="B62" i="30"/>
  <c r="F59" i="40"/>
  <c r="G59" i="40" s="1"/>
  <c r="B59" i="40"/>
  <c r="F61" i="37"/>
  <c r="G61" i="37" s="1"/>
  <c r="B61" i="37"/>
  <c r="F60" i="45"/>
  <c r="B60" i="45"/>
  <c r="I62" i="31"/>
  <c r="B63" i="28"/>
  <c r="D60" i="46"/>
  <c r="E60" i="46" s="1"/>
  <c r="B66" i="23"/>
  <c r="I69" i="11"/>
  <c r="G60" i="13"/>
  <c r="I60" i="13" s="1"/>
  <c r="B68" i="5"/>
  <c r="F59" i="41"/>
  <c r="H59" i="41" s="1"/>
  <c r="B59" i="41"/>
  <c r="B65" i="24"/>
  <c r="F65" i="24"/>
  <c r="G65" i="24" s="1"/>
  <c r="B68" i="4"/>
  <c r="E63" i="31"/>
  <c r="F63" i="31" s="1"/>
  <c r="H63" i="31" s="1"/>
  <c r="E63" i="28"/>
  <c r="F63" i="28" s="1"/>
  <c r="H63" i="28" s="1"/>
  <c r="B69" i="8"/>
  <c r="I66" i="25"/>
  <c r="I68" i="6"/>
  <c r="I141" i="13"/>
  <c r="H141" i="13"/>
  <c r="B142" i="13"/>
  <c r="F142" i="13"/>
  <c r="I69" i="47" l="1"/>
  <c r="F70" i="47"/>
  <c r="B70" i="47"/>
  <c r="H70" i="47"/>
  <c r="F72" i="10"/>
  <c r="H72" i="10" s="1"/>
  <c r="G69" i="8"/>
  <c r="G63" i="31"/>
  <c r="G62" i="30"/>
  <c r="G63" i="29"/>
  <c r="G63" i="28"/>
  <c r="H64" i="27"/>
  <c r="H67" i="25"/>
  <c r="H65" i="24"/>
  <c r="G66" i="23"/>
  <c r="G67" i="22"/>
  <c r="G70" i="11"/>
  <c r="G72" i="10"/>
  <c r="G73" i="10" s="1"/>
  <c r="E71" i="9"/>
  <c r="G71" i="7"/>
  <c r="H69" i="6"/>
  <c r="G68" i="5"/>
  <c r="H68" i="4"/>
  <c r="G68" i="3"/>
  <c r="H60" i="44"/>
  <c r="D61" i="44"/>
  <c r="G60" i="44"/>
  <c r="G59" i="41"/>
  <c r="I59" i="41" s="1"/>
  <c r="I70" i="9"/>
  <c r="H60" i="39"/>
  <c r="I60" i="39" s="1"/>
  <c r="H59" i="40"/>
  <c r="I59" i="40" s="1"/>
  <c r="G59" i="42"/>
  <c r="I59" i="42" s="1"/>
  <c r="G58" i="43"/>
  <c r="I58" i="43" s="1"/>
  <c r="D65" i="27"/>
  <c r="D64" i="28"/>
  <c r="D64" i="31"/>
  <c r="D70" i="8"/>
  <c r="D69" i="5"/>
  <c r="D67" i="23"/>
  <c r="D61" i="45"/>
  <c r="E61" i="45" s="1"/>
  <c r="H61" i="37"/>
  <c r="I61" i="37" s="1"/>
  <c r="D70" i="6"/>
  <c r="D71" i="11"/>
  <c r="H60" i="38"/>
  <c r="I60" i="38" s="1"/>
  <c r="D66" i="24"/>
  <c r="H60" i="45"/>
  <c r="D60" i="40"/>
  <c r="E60" i="40" s="1"/>
  <c r="D69" i="3"/>
  <c r="D60" i="42"/>
  <c r="E60" i="42" s="1"/>
  <c r="D61" i="39"/>
  <c r="E61" i="39" s="1"/>
  <c r="D60" i="41"/>
  <c r="E60" i="41" s="1"/>
  <c r="F60" i="46"/>
  <c r="G60" i="46" s="1"/>
  <c r="B60" i="46"/>
  <c r="D63" i="30"/>
  <c r="D59" i="43"/>
  <c r="E59" i="43" s="1"/>
  <c r="D72" i="7"/>
  <c r="D69" i="4"/>
  <c r="G60" i="45"/>
  <c r="D62" i="37"/>
  <c r="E62" i="37" s="1"/>
  <c r="D68" i="22"/>
  <c r="D68" i="25"/>
  <c r="D64" i="29"/>
  <c r="D61" i="38"/>
  <c r="E61" i="38"/>
  <c r="F71" i="9"/>
  <c r="G71" i="9" s="1"/>
  <c r="B71" i="9"/>
  <c r="F61" i="13"/>
  <c r="H61" i="13" s="1"/>
  <c r="B61" i="13"/>
  <c r="D143" i="13"/>
  <c r="E143" i="13" s="1"/>
  <c r="G142" i="13"/>
  <c r="D71" i="47" l="1"/>
  <c r="E71" i="47" s="1"/>
  <c r="G70" i="47"/>
  <c r="I70" i="47" s="1"/>
  <c r="I60" i="44"/>
  <c r="E63" i="30"/>
  <c r="F63" i="30" s="1"/>
  <c r="H63" i="30" s="1"/>
  <c r="E64" i="29"/>
  <c r="F64" i="29" s="1"/>
  <c r="H64" i="29" s="1"/>
  <c r="E64" i="28"/>
  <c r="F64" i="28" s="1"/>
  <c r="G64" i="28" s="1"/>
  <c r="E68" i="25"/>
  <c r="F68" i="25" s="1"/>
  <c r="H68" i="25" s="1"/>
  <c r="E66" i="24"/>
  <c r="F66" i="24" s="1"/>
  <c r="H66" i="24" s="1"/>
  <c r="E68" i="22"/>
  <c r="F68" i="22" s="1"/>
  <c r="H68" i="22" s="1"/>
  <c r="H71" i="9"/>
  <c r="E70" i="8"/>
  <c r="F70" i="8" s="1"/>
  <c r="H70" i="8" s="1"/>
  <c r="I67" i="25"/>
  <c r="E61" i="44"/>
  <c r="F61" i="44" s="1"/>
  <c r="B61" i="44"/>
  <c r="H60" i="46"/>
  <c r="I60" i="46" s="1"/>
  <c r="I63" i="28"/>
  <c r="G61" i="13"/>
  <c r="I61" i="13" s="1"/>
  <c r="I68" i="4"/>
  <c r="I71" i="7"/>
  <c r="I68" i="3"/>
  <c r="B65" i="27"/>
  <c r="I63" i="29"/>
  <c r="I69" i="6"/>
  <c r="I64" i="27"/>
  <c r="I65" i="24"/>
  <c r="I70" i="11"/>
  <c r="E65" i="27"/>
  <c r="F65" i="27" s="1"/>
  <c r="H65" i="27" s="1"/>
  <c r="B72" i="7"/>
  <c r="B59" i="43"/>
  <c r="F59" i="43"/>
  <c r="G59" i="43" s="1"/>
  <c r="B61" i="39"/>
  <c r="F61" i="39"/>
  <c r="B69" i="3"/>
  <c r="I60" i="45"/>
  <c r="B71" i="11"/>
  <c r="B70" i="6"/>
  <c r="I66" i="23"/>
  <c r="I69" i="8"/>
  <c r="D72" i="9"/>
  <c r="B64" i="29"/>
  <c r="B62" i="37"/>
  <c r="F62" i="37"/>
  <c r="G62" i="37" s="1"/>
  <c r="B69" i="4"/>
  <c r="F60" i="42"/>
  <c r="G60" i="42" s="1"/>
  <c r="B60" i="42"/>
  <c r="B64" i="31"/>
  <c r="I67" i="22"/>
  <c r="I62" i="30"/>
  <c r="B60" i="41"/>
  <c r="F60" i="41"/>
  <c r="H60" i="41" s="1"/>
  <c r="I72" i="10"/>
  <c r="I73" i="10" s="1"/>
  <c r="H73" i="10"/>
  <c r="E69" i="3"/>
  <c r="F69" i="3" s="1"/>
  <c r="H69" i="3" s="1"/>
  <c r="E71" i="11"/>
  <c r="F71" i="11" s="1"/>
  <c r="H71" i="11" s="1"/>
  <c r="E70" i="6"/>
  <c r="F70" i="6" s="1"/>
  <c r="H70" i="6" s="1"/>
  <c r="F61" i="45"/>
  <c r="H61" i="45" s="1"/>
  <c r="B61" i="45"/>
  <c r="B67" i="23"/>
  <c r="B69" i="5"/>
  <c r="B70" i="8"/>
  <c r="I63" i="31"/>
  <c r="D62" i="13"/>
  <c r="E62" i="13" s="1"/>
  <c r="B61" i="38"/>
  <c r="F61" i="38"/>
  <c r="G61" i="38" s="1"/>
  <c r="B68" i="25"/>
  <c r="B68" i="22"/>
  <c r="E69" i="4"/>
  <c r="F69" i="4" s="1"/>
  <c r="G69" i="4" s="1"/>
  <c r="E72" i="7"/>
  <c r="E73" i="7" s="1"/>
  <c r="B63" i="30"/>
  <c r="D61" i="46"/>
  <c r="B60" i="40"/>
  <c r="F60" i="40"/>
  <c r="H60" i="40" s="1"/>
  <c r="B66" i="24"/>
  <c r="E67" i="23"/>
  <c r="F67" i="23" s="1"/>
  <c r="G67" i="23" s="1"/>
  <c r="E69" i="5"/>
  <c r="F69" i="5" s="1"/>
  <c r="H69" i="5" s="1"/>
  <c r="E64" i="31"/>
  <c r="F64" i="31" s="1"/>
  <c r="G64" i="31" s="1"/>
  <c r="B64" i="28"/>
  <c r="I142" i="13"/>
  <c r="H142" i="13"/>
  <c r="B143" i="13"/>
  <c r="F143" i="13"/>
  <c r="F71" i="47" l="1"/>
  <c r="G71" i="47" s="1"/>
  <c r="B71" i="47"/>
  <c r="H64" i="31"/>
  <c r="G63" i="30"/>
  <c r="G64" i="29"/>
  <c r="H64" i="28"/>
  <c r="G65" i="27"/>
  <c r="G68" i="25"/>
  <c r="G66" i="24"/>
  <c r="H67" i="23"/>
  <c r="G68" i="22"/>
  <c r="G71" i="11"/>
  <c r="G70" i="8"/>
  <c r="G70" i="6"/>
  <c r="G69" i="5"/>
  <c r="H69" i="4"/>
  <c r="G69" i="3"/>
  <c r="H61" i="44"/>
  <c r="D62" i="44"/>
  <c r="G61" i="44"/>
  <c r="I71" i="9"/>
  <c r="G61" i="45"/>
  <c r="I61" i="45" s="1"/>
  <c r="G60" i="41"/>
  <c r="I60" i="41" s="1"/>
  <c r="H59" i="43"/>
  <c r="I59" i="43" s="1"/>
  <c r="D66" i="27"/>
  <c r="H60" i="42"/>
  <c r="I60" i="42" s="1"/>
  <c r="D72" i="11"/>
  <c r="D70" i="5"/>
  <c r="D70" i="3"/>
  <c r="D70" i="4"/>
  <c r="D68" i="23"/>
  <c r="D65" i="31"/>
  <c r="D71" i="6"/>
  <c r="D67" i="24"/>
  <c r="D64" i="30"/>
  <c r="D69" i="22"/>
  <c r="B72" i="9"/>
  <c r="D62" i="39"/>
  <c r="E62" i="39" s="1"/>
  <c r="G60" i="40"/>
  <c r="I60" i="40" s="1"/>
  <c r="B61" i="46"/>
  <c r="D69" i="25"/>
  <c r="H61" i="38"/>
  <c r="I61" i="38" s="1"/>
  <c r="D63" i="37"/>
  <c r="D65" i="28"/>
  <c r="E61" i="46"/>
  <c r="F61" i="46" s="1"/>
  <c r="D71" i="8"/>
  <c r="D62" i="45"/>
  <c r="D61" i="41"/>
  <c r="E61" i="41" s="1"/>
  <c r="G61" i="39"/>
  <c r="D60" i="43"/>
  <c r="E60" i="43" s="1"/>
  <c r="F72" i="7"/>
  <c r="D61" i="40"/>
  <c r="E61" i="40" s="1"/>
  <c r="D62" i="38"/>
  <c r="E62" i="38" s="1"/>
  <c r="F62" i="13"/>
  <c r="G62" i="13" s="1"/>
  <c r="B62" i="13"/>
  <c r="D61" i="42"/>
  <c r="E61" i="42" s="1"/>
  <c r="H62" i="37"/>
  <c r="I62" i="37" s="1"/>
  <c r="D65" i="29"/>
  <c r="E72" i="9"/>
  <c r="E73" i="9" s="1"/>
  <c r="H61" i="39"/>
  <c r="D144" i="13"/>
  <c r="G143" i="13"/>
  <c r="H71" i="47" l="1"/>
  <c r="I71" i="47" s="1"/>
  <c r="D72" i="47"/>
  <c r="E72" i="47" s="1"/>
  <c r="E73" i="47" s="1"/>
  <c r="I61" i="44"/>
  <c r="E65" i="29"/>
  <c r="F65" i="29" s="1"/>
  <c r="G65" i="29" s="1"/>
  <c r="E69" i="25"/>
  <c r="F69" i="25" s="1"/>
  <c r="H69" i="25" s="1"/>
  <c r="E72" i="11"/>
  <c r="E73" i="11" s="1"/>
  <c r="H72" i="7"/>
  <c r="G72" i="7"/>
  <c r="G73" i="7" s="1"/>
  <c r="E70" i="5"/>
  <c r="F70" i="5" s="1"/>
  <c r="H70" i="5" s="1"/>
  <c r="E70" i="4"/>
  <c r="F70" i="4" s="1"/>
  <c r="H70" i="4" s="1"/>
  <c r="E70" i="3"/>
  <c r="F70" i="3" s="1"/>
  <c r="H70" i="3" s="1"/>
  <c r="E62" i="44"/>
  <c r="F62" i="44" s="1"/>
  <c r="B62" i="44"/>
  <c r="I66" i="24"/>
  <c r="I67" i="23"/>
  <c r="I65" i="27"/>
  <c r="I70" i="6"/>
  <c r="I63" i="30"/>
  <c r="E66" i="27"/>
  <c r="F66" i="27" s="1"/>
  <c r="H66" i="27" s="1"/>
  <c r="B66" i="27"/>
  <c r="I64" i="31"/>
  <c r="I69" i="4"/>
  <c r="I69" i="3"/>
  <c r="D62" i="46"/>
  <c r="E62" i="46" s="1"/>
  <c r="G61" i="46"/>
  <c r="H61" i="46"/>
  <c r="D63" i="13"/>
  <c r="E63" i="13" s="1"/>
  <c r="B61" i="40"/>
  <c r="F61" i="40"/>
  <c r="G61" i="40" s="1"/>
  <c r="F61" i="41"/>
  <c r="H61" i="41" s="1"/>
  <c r="B61" i="41"/>
  <c r="I70" i="8"/>
  <c r="I68" i="25"/>
  <c r="F72" i="9"/>
  <c r="I68" i="22"/>
  <c r="B68" i="23"/>
  <c r="B60" i="43"/>
  <c r="F60" i="43"/>
  <c r="H60" i="43" s="1"/>
  <c r="B62" i="45"/>
  <c r="B65" i="28"/>
  <c r="B64" i="30"/>
  <c r="B67" i="24"/>
  <c r="B71" i="6"/>
  <c r="B65" i="31"/>
  <c r="B70" i="3"/>
  <c r="B72" i="11"/>
  <c r="B62" i="38"/>
  <c r="F62" i="38"/>
  <c r="G62" i="38" s="1"/>
  <c r="E62" i="45"/>
  <c r="F62" i="45" s="1"/>
  <c r="B71" i="8"/>
  <c r="E65" i="28"/>
  <c r="F65" i="28" s="1"/>
  <c r="H65" i="28" s="1"/>
  <c r="B63" i="37"/>
  <c r="B69" i="22"/>
  <c r="B70" i="4"/>
  <c r="B70" i="5"/>
  <c r="B65" i="29"/>
  <c r="I61" i="39"/>
  <c r="I64" i="29"/>
  <c r="B61" i="42"/>
  <c r="F61" i="42"/>
  <c r="H61" i="42" s="1"/>
  <c r="H62" i="13"/>
  <c r="I62" i="13" s="1"/>
  <c r="E71" i="8"/>
  <c r="F71" i="8" s="1"/>
  <c r="G71" i="8" s="1"/>
  <c r="I64" i="28"/>
  <c r="E63" i="37"/>
  <c r="F63" i="37" s="1"/>
  <c r="B69" i="25"/>
  <c r="F62" i="39"/>
  <c r="G62" i="39" s="1"/>
  <c r="B62" i="39"/>
  <c r="E69" i="22"/>
  <c r="F69" i="22" s="1"/>
  <c r="H69" i="22" s="1"/>
  <c r="E64" i="30"/>
  <c r="F64" i="30" s="1"/>
  <c r="H64" i="30" s="1"/>
  <c r="E67" i="24"/>
  <c r="F67" i="24" s="1"/>
  <c r="G67" i="24" s="1"/>
  <c r="E71" i="6"/>
  <c r="F71" i="6" s="1"/>
  <c r="H71" i="6" s="1"/>
  <c r="E65" i="31"/>
  <c r="F65" i="31" s="1"/>
  <c r="H65" i="31" s="1"/>
  <c r="E68" i="23"/>
  <c r="F68" i="23" s="1"/>
  <c r="H68" i="23" s="1"/>
  <c r="I71" i="11"/>
  <c r="H143" i="13"/>
  <c r="I143" i="13"/>
  <c r="B144" i="13"/>
  <c r="E144" i="13"/>
  <c r="F144" i="13" s="1"/>
  <c r="B72" i="47" l="1"/>
  <c r="F72" i="47"/>
  <c r="G72" i="47" s="1"/>
  <c r="G73" i="47" s="1"/>
  <c r="F72" i="11"/>
  <c r="H72" i="11" s="1"/>
  <c r="G65" i="31"/>
  <c r="G64" i="30"/>
  <c r="H65" i="29"/>
  <c r="G65" i="28"/>
  <c r="G66" i="27"/>
  <c r="G69" i="25"/>
  <c r="I69" i="25" s="1"/>
  <c r="H67" i="24"/>
  <c r="G68" i="23"/>
  <c r="I68" i="23" s="1"/>
  <c r="G69" i="22"/>
  <c r="H72" i="9"/>
  <c r="G72" i="9"/>
  <c r="G73" i="9" s="1"/>
  <c r="H71" i="8"/>
  <c r="G71" i="6"/>
  <c r="G70" i="5"/>
  <c r="G70" i="4"/>
  <c r="G70" i="3"/>
  <c r="G62" i="44"/>
  <c r="H62" i="44"/>
  <c r="D63" i="44"/>
  <c r="I61" i="46"/>
  <c r="H62" i="39"/>
  <c r="I62" i="39" s="1"/>
  <c r="H61" i="40"/>
  <c r="I61" i="40" s="1"/>
  <c r="G61" i="42"/>
  <c r="I61" i="42" s="1"/>
  <c r="D67" i="27"/>
  <c r="D70" i="22"/>
  <c r="D66" i="28"/>
  <c r="D72" i="6"/>
  <c r="D66" i="31"/>
  <c r="D68" i="24"/>
  <c r="D69" i="23"/>
  <c r="D65" i="30"/>
  <c r="D64" i="37"/>
  <c r="H63" i="37"/>
  <c r="G63" i="37"/>
  <c r="D63" i="45"/>
  <c r="E63" i="45" s="1"/>
  <c r="G62" i="45"/>
  <c r="H62" i="45"/>
  <c r="D70" i="25"/>
  <c r="D63" i="38"/>
  <c r="E63" i="38" s="1"/>
  <c r="D71" i="3"/>
  <c r="D61" i="43"/>
  <c r="E61" i="43" s="1"/>
  <c r="I72" i="7"/>
  <c r="I73" i="7" s="1"/>
  <c r="H73" i="7"/>
  <c r="D71" i="5"/>
  <c r="D62" i="41"/>
  <c r="E62" i="41" s="1"/>
  <c r="D63" i="39"/>
  <c r="E63" i="39" s="1"/>
  <c r="D62" i="42"/>
  <c r="E62" i="42" s="1"/>
  <c r="H62" i="38"/>
  <c r="I62" i="38" s="1"/>
  <c r="G60" i="43"/>
  <c r="I60" i="43" s="1"/>
  <c r="G61" i="41"/>
  <c r="I61" i="41" s="1"/>
  <c r="D62" i="40"/>
  <c r="E62" i="40" s="1"/>
  <c r="D66" i="29"/>
  <c r="D71" i="4"/>
  <c r="D72" i="8"/>
  <c r="B63" i="13"/>
  <c r="F63" i="13"/>
  <c r="G63" i="13" s="1"/>
  <c r="F62" i="46"/>
  <c r="H62" i="46" s="1"/>
  <c r="B62" i="46"/>
  <c r="G144" i="13"/>
  <c r="D145" i="13"/>
  <c r="E145" i="13" s="1"/>
  <c r="G72" i="11" l="1"/>
  <c r="G73" i="11" s="1"/>
  <c r="H72" i="47"/>
  <c r="I72" i="47" s="1"/>
  <c r="I73" i="47" s="1"/>
  <c r="H73" i="47"/>
  <c r="I62" i="44"/>
  <c r="E66" i="31"/>
  <c r="E65" i="30"/>
  <c r="F65" i="30" s="1"/>
  <c r="H65" i="30" s="1"/>
  <c r="E66" i="29"/>
  <c r="F66" i="29" s="1"/>
  <c r="H66" i="29" s="1"/>
  <c r="E66" i="28"/>
  <c r="F66" i="28" s="1"/>
  <c r="G66" i="28" s="1"/>
  <c r="E70" i="25"/>
  <c r="F70" i="25" s="1"/>
  <c r="H70" i="25" s="1"/>
  <c r="E68" i="24"/>
  <c r="F68" i="24" s="1"/>
  <c r="H68" i="24" s="1"/>
  <c r="E69" i="23"/>
  <c r="F69" i="23" s="1"/>
  <c r="G69" i="23" s="1"/>
  <c r="E70" i="22"/>
  <c r="E72" i="8"/>
  <c r="E73" i="8" s="1"/>
  <c r="E72" i="6"/>
  <c r="E73" i="6" s="1"/>
  <c r="E71" i="5"/>
  <c r="F71" i="5" s="1"/>
  <c r="H71" i="5" s="1"/>
  <c r="E71" i="4"/>
  <c r="I70" i="4"/>
  <c r="E63" i="44"/>
  <c r="F63" i="44" s="1"/>
  <c r="B63" i="44"/>
  <c r="I66" i="27"/>
  <c r="G62" i="46"/>
  <c r="I62" i="46" s="1"/>
  <c r="I63" i="37"/>
  <c r="H63" i="13"/>
  <c r="I63" i="13" s="1"/>
  <c r="B67" i="27"/>
  <c r="I71" i="8"/>
  <c r="E67" i="27"/>
  <c r="F67" i="27" s="1"/>
  <c r="H67" i="27" s="1"/>
  <c r="I65" i="31"/>
  <c r="D64" i="13"/>
  <c r="E64" i="13" s="1"/>
  <c r="I65" i="29"/>
  <c r="I72" i="11"/>
  <c r="I73" i="11" s="1"/>
  <c r="H73" i="11"/>
  <c r="B62" i="41"/>
  <c r="F62" i="41"/>
  <c r="H62" i="41" s="1"/>
  <c r="I70" i="3"/>
  <c r="I62" i="45"/>
  <c r="B63" i="39"/>
  <c r="F63" i="39"/>
  <c r="H63" i="39" s="1"/>
  <c r="F61" i="43"/>
  <c r="G61" i="43" s="1"/>
  <c r="B61" i="43"/>
  <c r="B71" i="3"/>
  <c r="B68" i="24"/>
  <c r="F66" i="31"/>
  <c r="H66" i="31" s="1"/>
  <c r="B66" i="31"/>
  <c r="B72" i="6"/>
  <c r="B66" i="28"/>
  <c r="B70" i="22"/>
  <c r="F70" i="22"/>
  <c r="H70" i="22" s="1"/>
  <c r="I72" i="9"/>
  <c r="I73" i="9" s="1"/>
  <c r="H73" i="9"/>
  <c r="D63" i="46"/>
  <c r="E63" i="46" s="1"/>
  <c r="B71" i="5"/>
  <c r="E71" i="3"/>
  <c r="F71" i="3" s="1"/>
  <c r="H71" i="3" s="1"/>
  <c r="B64" i="37"/>
  <c r="B65" i="30"/>
  <c r="I67" i="24"/>
  <c r="B72" i="8"/>
  <c r="B71" i="4"/>
  <c r="F71" i="4"/>
  <c r="G71" i="4" s="1"/>
  <c r="B66" i="29"/>
  <c r="F62" i="40"/>
  <c r="H62" i="40" s="1"/>
  <c r="B62" i="40"/>
  <c r="B62" i="42"/>
  <c r="F62" i="42"/>
  <c r="H62" i="42" s="1"/>
  <c r="B63" i="38"/>
  <c r="F63" i="38"/>
  <c r="G63" i="38" s="1"/>
  <c r="B70" i="25"/>
  <c r="F63" i="45"/>
  <c r="H63" i="45" s="1"/>
  <c r="B63" i="45"/>
  <c r="E64" i="37"/>
  <c r="F64" i="37" s="1"/>
  <c r="H64" i="37" s="1"/>
  <c r="I64" i="30"/>
  <c r="B69" i="23"/>
  <c r="I71" i="6"/>
  <c r="I65" i="28"/>
  <c r="I69" i="22"/>
  <c r="F145" i="13"/>
  <c r="B145" i="13"/>
  <c r="H144" i="13"/>
  <c r="I144" i="13"/>
  <c r="F72" i="6" l="1"/>
  <c r="H72" i="6" s="1"/>
  <c r="F72" i="8"/>
  <c r="H72" i="8" s="1"/>
  <c r="G70" i="22"/>
  <c r="G66" i="31"/>
  <c r="G65" i="30"/>
  <c r="G66" i="29"/>
  <c r="H66" i="28"/>
  <c r="G67" i="27"/>
  <c r="G70" i="25"/>
  <c r="G68" i="24"/>
  <c r="H69" i="23"/>
  <c r="G72" i="8"/>
  <c r="G73" i="8" s="1"/>
  <c r="G72" i="6"/>
  <c r="G73" i="6" s="1"/>
  <c r="G71" i="5"/>
  <c r="H71" i="4"/>
  <c r="G71" i="3"/>
  <c r="D64" i="44"/>
  <c r="G63" i="44"/>
  <c r="H63" i="44"/>
  <c r="H63" i="38"/>
  <c r="I63" i="38" s="1"/>
  <c r="G63" i="45"/>
  <c r="I63" i="45" s="1"/>
  <c r="D68" i="27"/>
  <c r="H61" i="43"/>
  <c r="I61" i="43" s="1"/>
  <c r="D72" i="3"/>
  <c r="D70" i="23"/>
  <c r="D72" i="4"/>
  <c r="D72" i="5"/>
  <c r="G62" i="41"/>
  <c r="I62" i="41" s="1"/>
  <c r="D71" i="25"/>
  <c r="D63" i="40"/>
  <c r="E63" i="40" s="1"/>
  <c r="D65" i="37"/>
  <c r="E65" i="37" s="1"/>
  <c r="D67" i="28"/>
  <c r="D67" i="31"/>
  <c r="D62" i="43"/>
  <c r="E62" i="43" s="1"/>
  <c r="F64" i="13"/>
  <c r="H64" i="13" s="1"/>
  <c r="B64" i="13"/>
  <c r="D63" i="42"/>
  <c r="D66" i="30"/>
  <c r="D71" i="22"/>
  <c r="D64" i="39"/>
  <c r="D63" i="41"/>
  <c r="E63" i="41" s="1"/>
  <c r="D64" i="45"/>
  <c r="E64" i="45" s="1"/>
  <c r="D64" i="38"/>
  <c r="E64" i="38" s="1"/>
  <c r="G62" i="42"/>
  <c r="I62" i="42" s="1"/>
  <c r="G62" i="40"/>
  <c r="I62" i="40" s="1"/>
  <c r="D67" i="29"/>
  <c r="G64" i="37"/>
  <c r="I64" i="37" s="1"/>
  <c r="B63" i="46"/>
  <c r="F63" i="46"/>
  <c r="G63" i="46" s="1"/>
  <c r="D69" i="24"/>
  <c r="G63" i="39"/>
  <c r="I63" i="39" s="1"/>
  <c r="G145" i="13"/>
  <c r="D146" i="13"/>
  <c r="E146" i="13" s="1"/>
  <c r="B68" i="27" l="1"/>
  <c r="E69" i="24"/>
  <c r="E70" i="23"/>
  <c r="F70" i="23" s="1"/>
  <c r="H70" i="23" s="1"/>
  <c r="E72" i="5"/>
  <c r="E73" i="5" s="1"/>
  <c r="E72" i="4"/>
  <c r="E73" i="4" s="1"/>
  <c r="E72" i="3"/>
  <c r="E73" i="3" s="1"/>
  <c r="I63" i="44"/>
  <c r="E64" i="44"/>
  <c r="F64" i="44" s="1"/>
  <c r="B64" i="44"/>
  <c r="I66" i="28"/>
  <c r="I65" i="30"/>
  <c r="I66" i="29"/>
  <c r="I70" i="22"/>
  <c r="E68" i="27"/>
  <c r="F68" i="27" s="1"/>
  <c r="H68" i="27" s="1"/>
  <c r="I68" i="24"/>
  <c r="H63" i="46"/>
  <c r="I63" i="46" s="1"/>
  <c r="I67" i="27"/>
  <c r="I72" i="8"/>
  <c r="I73" i="8" s="1"/>
  <c r="H73" i="8"/>
  <c r="B64" i="39"/>
  <c r="B67" i="29"/>
  <c r="E64" i="39"/>
  <c r="F64" i="39" s="1"/>
  <c r="B66" i="30"/>
  <c r="B63" i="42"/>
  <c r="I66" i="31"/>
  <c r="I70" i="25"/>
  <c r="I71" i="3"/>
  <c r="I72" i="6"/>
  <c r="I73" i="6" s="1"/>
  <c r="H73" i="6"/>
  <c r="B71" i="22"/>
  <c r="B67" i="31"/>
  <c r="F69" i="24"/>
  <c r="G69" i="24" s="1"/>
  <c r="B69" i="24"/>
  <c r="E67" i="29"/>
  <c r="F67" i="29" s="1"/>
  <c r="H67" i="29" s="1"/>
  <c r="D65" i="13"/>
  <c r="E65" i="13" s="1"/>
  <c r="B62" i="43"/>
  <c r="F62" i="43"/>
  <c r="G62" i="43" s="1"/>
  <c r="B63" i="40"/>
  <c r="F63" i="40"/>
  <c r="H63" i="40" s="1"/>
  <c r="B71" i="25"/>
  <c r="B72" i="4"/>
  <c r="B70" i="23"/>
  <c r="B64" i="38"/>
  <c r="F64" i="38"/>
  <c r="H64" i="38" s="1"/>
  <c r="B67" i="28"/>
  <c r="D64" i="46"/>
  <c r="E64" i="46" s="1"/>
  <c r="F64" i="45"/>
  <c r="H64" i="45"/>
  <c r="B64" i="45"/>
  <c r="B63" i="41"/>
  <c r="F63" i="41"/>
  <c r="H63" i="41" s="1"/>
  <c r="E71" i="22"/>
  <c r="F71" i="22" s="1"/>
  <c r="H71" i="22" s="1"/>
  <c r="E66" i="30"/>
  <c r="F66" i="30" s="1"/>
  <c r="H66" i="30" s="1"/>
  <c r="E63" i="42"/>
  <c r="F63" i="42" s="1"/>
  <c r="G64" i="13"/>
  <c r="I64" i="13" s="1"/>
  <c r="E67" i="31"/>
  <c r="F67" i="31" s="1"/>
  <c r="G67" i="31" s="1"/>
  <c r="E67" i="28"/>
  <c r="F67" i="28" s="1"/>
  <c r="H67" i="28" s="1"/>
  <c r="F65" i="37"/>
  <c r="G65" i="37" s="1"/>
  <c r="B65" i="37"/>
  <c r="E71" i="25"/>
  <c r="F71" i="25" s="1"/>
  <c r="G71" i="25" s="1"/>
  <c r="B72" i="5"/>
  <c r="I71" i="4"/>
  <c r="I69" i="23"/>
  <c r="F72" i="3"/>
  <c r="H72" i="3" s="1"/>
  <c r="B72" i="3"/>
  <c r="H145" i="13"/>
  <c r="I145" i="13"/>
  <c r="B146" i="13"/>
  <c r="F146" i="13"/>
  <c r="F72" i="5" l="1"/>
  <c r="G72" i="5" s="1"/>
  <c r="F72" i="4"/>
  <c r="H72" i="4" s="1"/>
  <c r="H69" i="24"/>
  <c r="H67" i="31"/>
  <c r="G66" i="30"/>
  <c r="G67" i="29"/>
  <c r="G67" i="28"/>
  <c r="G68" i="27"/>
  <c r="H71" i="25"/>
  <c r="G70" i="23"/>
  <c r="G71" i="22"/>
  <c r="H72" i="5"/>
  <c r="H73" i="5" s="1"/>
  <c r="G72" i="3"/>
  <c r="G73" i="3" s="1"/>
  <c r="G63" i="41"/>
  <c r="I63" i="41" s="1"/>
  <c r="G64" i="44"/>
  <c r="D65" i="44"/>
  <c r="H64" i="44"/>
  <c r="D69" i="27"/>
  <c r="D64" i="42"/>
  <c r="E64" i="42" s="1"/>
  <c r="H63" i="42"/>
  <c r="G63" i="42"/>
  <c r="D67" i="30"/>
  <c r="D68" i="29"/>
  <c r="D68" i="28"/>
  <c r="D68" i="31"/>
  <c r="D65" i="39"/>
  <c r="E65" i="39" s="1"/>
  <c r="H64" i="39"/>
  <c r="G64" i="39"/>
  <c r="G73" i="5"/>
  <c r="D65" i="45"/>
  <c r="D63" i="43"/>
  <c r="E63" i="43" s="1"/>
  <c r="D70" i="24"/>
  <c r="D71" i="23"/>
  <c r="D72" i="25"/>
  <c r="D66" i="37"/>
  <c r="E66" i="37" s="1"/>
  <c r="D64" i="40"/>
  <c r="E64" i="40" s="1"/>
  <c r="F65" i="13"/>
  <c r="G65" i="13" s="1"/>
  <c r="B65" i="13"/>
  <c r="D65" i="38"/>
  <c r="E65" i="38" s="1"/>
  <c r="D72" i="22"/>
  <c r="H65" i="37"/>
  <c r="I65" i="37" s="1"/>
  <c r="D64" i="41"/>
  <c r="E64" i="41" s="1"/>
  <c r="G64" i="45"/>
  <c r="I64" i="45" s="1"/>
  <c r="F64" i="46"/>
  <c r="H64" i="46" s="1"/>
  <c r="B64" i="46"/>
  <c r="G64" i="38"/>
  <c r="I64" i="38" s="1"/>
  <c r="G63" i="40"/>
  <c r="I63" i="40" s="1"/>
  <c r="H62" i="43"/>
  <c r="I62" i="43" s="1"/>
  <c r="G146" i="13"/>
  <c r="D147" i="13"/>
  <c r="E147" i="13" s="1"/>
  <c r="G72" i="4" l="1"/>
  <c r="G73" i="4" s="1"/>
  <c r="I64" i="44"/>
  <c r="E67" i="30"/>
  <c r="F67" i="30" s="1"/>
  <c r="H67" i="30" s="1"/>
  <c r="E69" i="27"/>
  <c r="F69" i="27" s="1"/>
  <c r="H69" i="27" s="1"/>
  <c r="E72" i="25"/>
  <c r="E73" i="25" s="1"/>
  <c r="E70" i="24"/>
  <c r="F70" i="24" s="1"/>
  <c r="G70" i="24" s="1"/>
  <c r="E71" i="23"/>
  <c r="F71" i="23" s="1"/>
  <c r="G71" i="23" s="1"/>
  <c r="E72" i="22"/>
  <c r="E73" i="22" s="1"/>
  <c r="I67" i="29"/>
  <c r="E65" i="44"/>
  <c r="F65" i="44" s="1"/>
  <c r="B65" i="44"/>
  <c r="I68" i="27"/>
  <c r="I71" i="22"/>
  <c r="H65" i="13"/>
  <c r="I65" i="13" s="1"/>
  <c r="I66" i="30"/>
  <c r="B69" i="27"/>
  <c r="F64" i="41"/>
  <c r="G64" i="41" s="1"/>
  <c r="B64" i="41"/>
  <c r="F64" i="40"/>
  <c r="G64" i="40" s="1"/>
  <c r="B64" i="40"/>
  <c r="B70" i="24"/>
  <c r="B63" i="43"/>
  <c r="F63" i="43"/>
  <c r="H63" i="43" s="1"/>
  <c r="B65" i="39"/>
  <c r="F65" i="39"/>
  <c r="G65" i="39" s="1"/>
  <c r="I67" i="31"/>
  <c r="B68" i="28"/>
  <c r="B68" i="29"/>
  <c r="B67" i="30"/>
  <c r="I63" i="42"/>
  <c r="B71" i="23"/>
  <c r="B65" i="38"/>
  <c r="F65" i="38"/>
  <c r="G65" i="38" s="1"/>
  <c r="I71" i="25"/>
  <c r="B65" i="45"/>
  <c r="B68" i="31"/>
  <c r="I67" i="28"/>
  <c r="I72" i="3"/>
  <c r="I73" i="3" s="1"/>
  <c r="H73" i="3"/>
  <c r="D65" i="46"/>
  <c r="G64" i="46"/>
  <c r="I64" i="46" s="1"/>
  <c r="B72" i="22"/>
  <c r="D66" i="13"/>
  <c r="F66" i="37"/>
  <c r="H66" i="37" s="1"/>
  <c r="B66" i="37"/>
  <c r="B72" i="25"/>
  <c r="I70" i="23"/>
  <c r="I69" i="24"/>
  <c r="I72" i="4"/>
  <c r="I73" i="4" s="1"/>
  <c r="H73" i="4"/>
  <c r="E65" i="45"/>
  <c r="F65" i="45" s="1"/>
  <c r="I64" i="39"/>
  <c r="E68" i="31"/>
  <c r="F68" i="31" s="1"/>
  <c r="G68" i="31" s="1"/>
  <c r="E68" i="28"/>
  <c r="F68" i="28" s="1"/>
  <c r="H68" i="28" s="1"/>
  <c r="E68" i="29"/>
  <c r="F68" i="29" s="1"/>
  <c r="H68" i="29" s="1"/>
  <c r="F64" i="42"/>
  <c r="H64" i="42" s="1"/>
  <c r="B64" i="42"/>
  <c r="F147" i="13"/>
  <c r="B147" i="13"/>
  <c r="H146" i="13"/>
  <c r="I146" i="13"/>
  <c r="F72" i="22" l="1"/>
  <c r="H72" i="22" s="1"/>
  <c r="H68" i="31"/>
  <c r="G67" i="30"/>
  <c r="G68" i="29"/>
  <c r="G68" i="28"/>
  <c r="G69" i="27"/>
  <c r="F72" i="25"/>
  <c r="H72" i="25" s="1"/>
  <c r="H70" i="24"/>
  <c r="H71" i="23"/>
  <c r="G72" i="22"/>
  <c r="G66" i="37"/>
  <c r="I66" i="37" s="1"/>
  <c r="D66" i="44"/>
  <c r="H65" i="44"/>
  <c r="G65" i="44"/>
  <c r="G63" i="43"/>
  <c r="I63" i="43" s="1"/>
  <c r="H64" i="40"/>
  <c r="I64" i="40" s="1"/>
  <c r="H64" i="41"/>
  <c r="I64" i="41" s="1"/>
  <c r="D70" i="27"/>
  <c r="D69" i="29"/>
  <c r="D69" i="28"/>
  <c r="D66" i="45"/>
  <c r="H65" i="45"/>
  <c r="G65" i="45"/>
  <c r="D69" i="31"/>
  <c r="D65" i="42"/>
  <c r="E65" i="42" s="1"/>
  <c r="D67" i="37"/>
  <c r="G73" i="22"/>
  <c r="H65" i="38"/>
  <c r="I65" i="38" s="1"/>
  <c r="D66" i="39"/>
  <c r="E66" i="39" s="1"/>
  <c r="B65" i="46"/>
  <c r="G64" i="42"/>
  <c r="I64" i="42" s="1"/>
  <c r="B66" i="13"/>
  <c r="H65" i="39"/>
  <c r="I65" i="39" s="1"/>
  <c r="D64" i="43"/>
  <c r="E64" i="43" s="1"/>
  <c r="D71" i="24"/>
  <c r="D65" i="40"/>
  <c r="E65" i="40" s="1"/>
  <c r="D65" i="41"/>
  <c r="E65" i="41" s="1"/>
  <c r="E66" i="13"/>
  <c r="F66" i="13" s="1"/>
  <c r="E65" i="46"/>
  <c r="F65" i="46" s="1"/>
  <c r="D66" i="38"/>
  <c r="E66" i="38" s="1"/>
  <c r="D72" i="23"/>
  <c r="D68" i="30"/>
  <c r="D148" i="13"/>
  <c r="G147" i="13"/>
  <c r="G72" i="25" l="1"/>
  <c r="G73" i="25" s="1"/>
  <c r="E69" i="29"/>
  <c r="E69" i="28"/>
  <c r="F69" i="28" s="1"/>
  <c r="H69" i="28" s="1"/>
  <c r="E70" i="27"/>
  <c r="F70" i="27" s="1"/>
  <c r="G70" i="27" s="1"/>
  <c r="E71" i="24"/>
  <c r="F71" i="24" s="1"/>
  <c r="E72" i="23"/>
  <c r="E73" i="23" s="1"/>
  <c r="I65" i="44"/>
  <c r="I68" i="28"/>
  <c r="E66" i="44"/>
  <c r="F66" i="44" s="1"/>
  <c r="B66" i="44"/>
  <c r="I71" i="23"/>
  <c r="B70" i="27"/>
  <c r="I69" i="27"/>
  <c r="D66" i="46"/>
  <c r="E66" i="46" s="1"/>
  <c r="H65" i="46"/>
  <c r="G65" i="46"/>
  <c r="D67" i="13"/>
  <c r="H66" i="13"/>
  <c r="G66" i="13"/>
  <c r="B68" i="30"/>
  <c r="I67" i="30"/>
  <c r="F65" i="40"/>
  <c r="H65" i="40" s="1"/>
  <c r="B65" i="40"/>
  <c r="I70" i="24"/>
  <c r="F66" i="39"/>
  <c r="G66" i="39" s="1"/>
  <c r="B66" i="39"/>
  <c r="B67" i="37"/>
  <c r="B69" i="31"/>
  <c r="I65" i="45"/>
  <c r="F69" i="29"/>
  <c r="H69" i="29" s="1"/>
  <c r="B69" i="29"/>
  <c r="E68" i="30"/>
  <c r="F68" i="30" s="1"/>
  <c r="H68" i="30" s="1"/>
  <c r="E67" i="37"/>
  <c r="F67" i="37" s="1"/>
  <c r="B65" i="42"/>
  <c r="F65" i="42"/>
  <c r="H65" i="42" s="1"/>
  <c r="I68" i="31"/>
  <c r="B66" i="45"/>
  <c r="B72" i="23"/>
  <c r="F72" i="23"/>
  <c r="H72" i="23" s="1"/>
  <c r="I72" i="25"/>
  <c r="I73" i="25" s="1"/>
  <c r="H73" i="25"/>
  <c r="F66" i="38"/>
  <c r="H66" i="38" s="1"/>
  <c r="B66" i="38"/>
  <c r="B65" i="41"/>
  <c r="F65" i="41"/>
  <c r="G65" i="41" s="1"/>
  <c r="B71" i="24"/>
  <c r="B64" i="43"/>
  <c r="F64" i="43"/>
  <c r="G64" i="43" s="1"/>
  <c r="I72" i="22"/>
  <c r="I73" i="22" s="1"/>
  <c r="H73" i="22"/>
  <c r="E69" i="31"/>
  <c r="F69" i="31" s="1"/>
  <c r="H69" i="31" s="1"/>
  <c r="E66" i="45"/>
  <c r="F66" i="45" s="1"/>
  <c r="B69" i="28"/>
  <c r="I68" i="29"/>
  <c r="I147" i="13"/>
  <c r="H147" i="13"/>
  <c r="B148" i="13"/>
  <c r="E148" i="13"/>
  <c r="F148" i="13" s="1"/>
  <c r="H71" i="24" l="1"/>
  <c r="G71" i="24"/>
  <c r="G69" i="31"/>
  <c r="G68" i="30"/>
  <c r="G69" i="29"/>
  <c r="G69" i="28"/>
  <c r="H70" i="27"/>
  <c r="G72" i="23"/>
  <c r="G73" i="23" s="1"/>
  <c r="H66" i="44"/>
  <c r="D67" i="44"/>
  <c r="B67" i="44" s="1"/>
  <c r="G66" i="44"/>
  <c r="H64" i="43"/>
  <c r="I64" i="43" s="1"/>
  <c r="G66" i="38"/>
  <c r="I66" i="38" s="1"/>
  <c r="D71" i="27"/>
  <c r="D70" i="31"/>
  <c r="D69" i="30"/>
  <c r="D68" i="37"/>
  <c r="E68" i="37" s="1"/>
  <c r="H67" i="37"/>
  <c r="G67" i="37"/>
  <c r="D67" i="45"/>
  <c r="E67" i="45" s="1"/>
  <c r="D70" i="29"/>
  <c r="D66" i="42"/>
  <c r="E66" i="42" s="1"/>
  <c r="H66" i="39"/>
  <c r="I66" i="39" s="1"/>
  <c r="I66" i="13"/>
  <c r="I65" i="46"/>
  <c r="D66" i="40"/>
  <c r="E66" i="40" s="1"/>
  <c r="D65" i="43"/>
  <c r="E65" i="43" s="1"/>
  <c r="H66" i="45"/>
  <c r="G65" i="42"/>
  <c r="I65" i="42" s="1"/>
  <c r="G65" i="40"/>
  <c r="I65" i="40" s="1"/>
  <c r="B67" i="13"/>
  <c r="D70" i="28"/>
  <c r="D66" i="41"/>
  <c r="E66" i="41" s="1"/>
  <c r="D72" i="24"/>
  <c r="H65" i="41"/>
  <c r="I65" i="41" s="1"/>
  <c r="D67" i="38"/>
  <c r="G66" i="45"/>
  <c r="D67" i="39"/>
  <c r="E67" i="39" s="1"/>
  <c r="E67" i="13"/>
  <c r="F67" i="13" s="1"/>
  <c r="F66" i="46"/>
  <c r="B66" i="46"/>
  <c r="D149" i="13"/>
  <c r="G148" i="13"/>
  <c r="I66" i="44" l="1"/>
  <c r="E70" i="31"/>
  <c r="F70" i="31" s="1"/>
  <c r="H70" i="31" s="1"/>
  <c r="E70" i="29"/>
  <c r="F70" i="29" s="1"/>
  <c r="G70" i="29" s="1"/>
  <c r="E70" i="28"/>
  <c r="F70" i="28" s="1"/>
  <c r="G70" i="28" s="1"/>
  <c r="E72" i="24"/>
  <c r="E73" i="24" s="1"/>
  <c r="E67" i="44"/>
  <c r="F67" i="44" s="1"/>
  <c r="G67" i="44" s="1"/>
  <c r="I69" i="29"/>
  <c r="E71" i="27"/>
  <c r="F71" i="27" s="1"/>
  <c r="H71" i="27" s="1"/>
  <c r="B71" i="27"/>
  <c r="I67" i="37"/>
  <c r="I71" i="24"/>
  <c r="I70" i="27"/>
  <c r="D68" i="13"/>
  <c r="E68" i="13" s="1"/>
  <c r="G67" i="13"/>
  <c r="H67" i="13"/>
  <c r="D67" i="46"/>
  <c r="B69" i="30"/>
  <c r="H66" i="46"/>
  <c r="B72" i="24"/>
  <c r="I72" i="23"/>
  <c r="I73" i="23" s="1"/>
  <c r="H73" i="23"/>
  <c r="F66" i="40"/>
  <c r="B66" i="40"/>
  <c r="B70" i="31"/>
  <c r="B67" i="38"/>
  <c r="B70" i="28"/>
  <c r="F66" i="42"/>
  <c r="H66" i="42" s="1"/>
  <c r="B66" i="42"/>
  <c r="F67" i="45"/>
  <c r="B67" i="45"/>
  <c r="F68" i="37"/>
  <c r="H68" i="37" s="1"/>
  <c r="B68" i="37"/>
  <c r="I68" i="30"/>
  <c r="I69" i="31"/>
  <c r="G66" i="46"/>
  <c r="F67" i="39"/>
  <c r="G67" i="39" s="1"/>
  <c r="B67" i="39"/>
  <c r="E67" i="38"/>
  <c r="F67" i="38" s="1"/>
  <c r="F66" i="41"/>
  <c r="B66" i="41"/>
  <c r="I69" i="28"/>
  <c r="I66" i="45"/>
  <c r="F65" i="43"/>
  <c r="H65" i="43" s="1"/>
  <c r="B65" i="43"/>
  <c r="B70" i="29"/>
  <c r="E69" i="30"/>
  <c r="F69" i="30" s="1"/>
  <c r="H69" i="30" s="1"/>
  <c r="B149" i="13"/>
  <c r="E149" i="13"/>
  <c r="F149" i="13" s="1"/>
  <c r="I148" i="13"/>
  <c r="H148" i="13"/>
  <c r="G70" i="31" l="1"/>
  <c r="G69" i="30"/>
  <c r="H70" i="29"/>
  <c r="H70" i="28"/>
  <c r="G71" i="27"/>
  <c r="F72" i="24"/>
  <c r="H67" i="44"/>
  <c r="I67" i="44" s="1"/>
  <c r="D68" i="44"/>
  <c r="G66" i="42"/>
  <c r="I66" i="42" s="1"/>
  <c r="D72" i="27"/>
  <c r="I67" i="13"/>
  <c r="D70" i="30"/>
  <c r="D68" i="38"/>
  <c r="D67" i="40"/>
  <c r="E67" i="40" s="1"/>
  <c r="D71" i="29"/>
  <c r="D68" i="39"/>
  <c r="E68" i="39" s="1"/>
  <c r="G66" i="40"/>
  <c r="I66" i="46"/>
  <c r="D67" i="41"/>
  <c r="D68" i="45"/>
  <c r="E68" i="45" s="1"/>
  <c r="D66" i="43"/>
  <c r="G66" i="41"/>
  <c r="H67" i="45"/>
  <c r="D71" i="28"/>
  <c r="G67" i="38"/>
  <c r="H66" i="40"/>
  <c r="B67" i="46"/>
  <c r="D69" i="37"/>
  <c r="G65" i="43"/>
  <c r="I65" i="43" s="1"/>
  <c r="H66" i="41"/>
  <c r="H67" i="39"/>
  <c r="I67" i="39" s="1"/>
  <c r="G68" i="37"/>
  <c r="I68" i="37" s="1"/>
  <c r="G67" i="45"/>
  <c r="D67" i="42"/>
  <c r="E67" i="42" s="1"/>
  <c r="H67" i="38"/>
  <c r="D71" i="31"/>
  <c r="E67" i="46"/>
  <c r="F67" i="46" s="1"/>
  <c r="F68" i="13"/>
  <c r="H68" i="13" s="1"/>
  <c r="B68" i="13"/>
  <c r="D150" i="13"/>
  <c r="G149" i="13"/>
  <c r="G68" i="13" l="1"/>
  <c r="E71" i="31"/>
  <c r="E71" i="28"/>
  <c r="F71" i="28" s="1"/>
  <c r="H71" i="28" s="1"/>
  <c r="H72" i="24"/>
  <c r="H73" i="24" s="1"/>
  <c r="G72" i="24"/>
  <c r="G73" i="24" s="1"/>
  <c r="E68" i="44"/>
  <c r="B68" i="44"/>
  <c r="F68" i="44"/>
  <c r="I66" i="40"/>
  <c r="I69" i="30"/>
  <c r="I66" i="41"/>
  <c r="B72" i="27"/>
  <c r="E72" i="27"/>
  <c r="E73" i="27" s="1"/>
  <c r="I71" i="27"/>
  <c r="D68" i="46"/>
  <c r="E68" i="46" s="1"/>
  <c r="G67" i="46"/>
  <c r="H67" i="46"/>
  <c r="B67" i="41"/>
  <c r="B70" i="30"/>
  <c r="I68" i="13"/>
  <c r="I67" i="38"/>
  <c r="I67" i="45"/>
  <c r="F68" i="39"/>
  <c r="B68" i="39"/>
  <c r="B71" i="29"/>
  <c r="B69" i="37"/>
  <c r="B71" i="31"/>
  <c r="F71" i="31"/>
  <c r="H71" i="31" s="1"/>
  <c r="I70" i="28"/>
  <c r="B68" i="45"/>
  <c r="F68" i="45"/>
  <c r="H68" i="45" s="1"/>
  <c r="E71" i="29"/>
  <c r="F71" i="29" s="1"/>
  <c r="H71" i="29" s="1"/>
  <c r="B67" i="40"/>
  <c r="F67" i="40"/>
  <c r="H67" i="40" s="1"/>
  <c r="E70" i="30"/>
  <c r="F70" i="30" s="1"/>
  <c r="H70" i="30" s="1"/>
  <c r="B66" i="43"/>
  <c r="B68" i="38"/>
  <c r="D69" i="13"/>
  <c r="E69" i="13" s="1"/>
  <c r="I70" i="31"/>
  <c r="B67" i="42"/>
  <c r="F67" i="42"/>
  <c r="H67" i="42" s="1"/>
  <c r="E69" i="37"/>
  <c r="F69" i="37" s="1"/>
  <c r="B71" i="28"/>
  <c r="E66" i="43"/>
  <c r="F66" i="43" s="1"/>
  <c r="E67" i="41"/>
  <c r="F67" i="41" s="1"/>
  <c r="I70" i="29"/>
  <c r="E68" i="38"/>
  <c r="F68" i="38" s="1"/>
  <c r="B150" i="13"/>
  <c r="H149" i="13"/>
  <c r="I149" i="13"/>
  <c r="E150" i="13"/>
  <c r="F150" i="13" s="1"/>
  <c r="G71" i="31" l="1"/>
  <c r="G70" i="30"/>
  <c r="G71" i="29"/>
  <c r="G71" i="28"/>
  <c r="I72" i="24"/>
  <c r="I73" i="24" s="1"/>
  <c r="H68" i="44"/>
  <c r="G68" i="44"/>
  <c r="I68" i="44" s="1"/>
  <c r="D69" i="44"/>
  <c r="I67" i="46"/>
  <c r="G68" i="45"/>
  <c r="I68" i="45" s="1"/>
  <c r="F72" i="27"/>
  <c r="D71" i="30"/>
  <c r="D67" i="43"/>
  <c r="E67" i="43" s="1"/>
  <c r="H66" i="43"/>
  <c r="G66" i="43"/>
  <c r="D72" i="29"/>
  <c r="E72" i="29" s="1"/>
  <c r="E73" i="29" s="1"/>
  <c r="D69" i="38"/>
  <c r="E69" i="38" s="1"/>
  <c r="H68" i="38"/>
  <c r="G68" i="38"/>
  <c r="D68" i="41"/>
  <c r="E68" i="41" s="1"/>
  <c r="G67" i="41"/>
  <c r="H67" i="41"/>
  <c r="D70" i="37"/>
  <c r="E70" i="37" s="1"/>
  <c r="G69" i="37"/>
  <c r="H69" i="37"/>
  <c r="D68" i="40"/>
  <c r="E68" i="40" s="1"/>
  <c r="D69" i="39"/>
  <c r="D72" i="28"/>
  <c r="D68" i="42"/>
  <c r="E68" i="42" s="1"/>
  <c r="G68" i="39"/>
  <c r="G67" i="42"/>
  <c r="I67" i="42" s="1"/>
  <c r="B69" i="13"/>
  <c r="F69" i="13"/>
  <c r="G69" i="13" s="1"/>
  <c r="G67" i="40"/>
  <c r="I67" i="40" s="1"/>
  <c r="D69" i="45"/>
  <c r="D72" i="31"/>
  <c r="H68" i="39"/>
  <c r="F68" i="46"/>
  <c r="H68" i="46" s="1"/>
  <c r="B68" i="46"/>
  <c r="G150" i="13"/>
  <c r="D151" i="13"/>
  <c r="E72" i="31" l="1"/>
  <c r="E73" i="31" s="1"/>
  <c r="E71" i="30"/>
  <c r="F71" i="30" s="1"/>
  <c r="H71" i="30" s="1"/>
  <c r="H72" i="27"/>
  <c r="G72" i="27"/>
  <c r="G73" i="27" s="1"/>
  <c r="I67" i="41"/>
  <c r="E69" i="44"/>
  <c r="F69" i="44" s="1"/>
  <c r="B69" i="44"/>
  <c r="I68" i="39"/>
  <c r="I70" i="30"/>
  <c r="I69" i="37"/>
  <c r="H69" i="13"/>
  <c r="I69" i="13" s="1"/>
  <c r="I71" i="28"/>
  <c r="B69" i="45"/>
  <c r="B69" i="39"/>
  <c r="G68" i="46"/>
  <c r="I68" i="46" s="1"/>
  <c r="I68" i="38"/>
  <c r="I66" i="43"/>
  <c r="B71" i="30"/>
  <c r="I71" i="31"/>
  <c r="F68" i="42"/>
  <c r="H68" i="42" s="1"/>
  <c r="B68" i="42"/>
  <c r="B68" i="40"/>
  <c r="F68" i="40"/>
  <c r="H68" i="40" s="1"/>
  <c r="I71" i="29"/>
  <c r="B72" i="28"/>
  <c r="D69" i="46"/>
  <c r="E69" i="46" s="1"/>
  <c r="B72" i="31"/>
  <c r="E69" i="45"/>
  <c r="F69" i="45" s="1"/>
  <c r="D70" i="13"/>
  <c r="E72" i="28"/>
  <c r="E73" i="28" s="1"/>
  <c r="E69" i="39"/>
  <c r="F69" i="39" s="1"/>
  <c r="B70" i="37"/>
  <c r="F70" i="37"/>
  <c r="G70" i="37" s="1"/>
  <c r="B68" i="41"/>
  <c r="F68" i="41"/>
  <c r="H68" i="41" s="1"/>
  <c r="B69" i="38"/>
  <c r="F69" i="38"/>
  <c r="F72" i="29"/>
  <c r="B72" i="29"/>
  <c r="B67" i="43"/>
  <c r="F67" i="43"/>
  <c r="H67" i="43" s="1"/>
  <c r="B151" i="13"/>
  <c r="H150" i="13"/>
  <c r="I150" i="13"/>
  <c r="E151" i="13"/>
  <c r="F151" i="13" s="1"/>
  <c r="F72" i="31" l="1"/>
  <c r="G72" i="31" s="1"/>
  <c r="G73" i="31" s="1"/>
  <c r="G71" i="30"/>
  <c r="H72" i="29"/>
  <c r="G72" i="29"/>
  <c r="G73" i="29" s="1"/>
  <c r="H69" i="44"/>
  <c r="D70" i="44"/>
  <c r="G69" i="44"/>
  <c r="I69" i="44" s="1"/>
  <c r="H70" i="37"/>
  <c r="I70" i="37" s="1"/>
  <c r="G68" i="40"/>
  <c r="G67" i="43"/>
  <c r="I67" i="43" s="1"/>
  <c r="H73" i="27"/>
  <c r="I72" i="27"/>
  <c r="I73" i="27" s="1"/>
  <c r="G68" i="42"/>
  <c r="I68" i="42" s="1"/>
  <c r="D70" i="45"/>
  <c r="E70" i="45" s="1"/>
  <c r="H69" i="45"/>
  <c r="G69" i="45"/>
  <c r="D70" i="39"/>
  <c r="E70" i="39" s="1"/>
  <c r="G69" i="39"/>
  <c r="H69" i="39"/>
  <c r="D69" i="41"/>
  <c r="I68" i="40"/>
  <c r="D70" i="38"/>
  <c r="E70" i="38" s="1"/>
  <c r="D68" i="43"/>
  <c r="E68" i="43" s="1"/>
  <c r="H69" i="38"/>
  <c r="G68" i="41"/>
  <c r="I68" i="41" s="1"/>
  <c r="D71" i="37"/>
  <c r="E71" i="37" s="1"/>
  <c r="B70" i="13"/>
  <c r="F72" i="28"/>
  <c r="D69" i="40"/>
  <c r="E69" i="40" s="1"/>
  <c r="G69" i="38"/>
  <c r="E70" i="13"/>
  <c r="F70" i="13" s="1"/>
  <c r="B69" i="46"/>
  <c r="F69" i="46"/>
  <c r="G69" i="46" s="1"/>
  <c r="D69" i="42"/>
  <c r="E69" i="42" s="1"/>
  <c r="D72" i="30"/>
  <c r="D152" i="13"/>
  <c r="G151" i="13"/>
  <c r="H72" i="31" l="1"/>
  <c r="E72" i="30"/>
  <c r="E73" i="30" s="1"/>
  <c r="H72" i="28"/>
  <c r="G72" i="28"/>
  <c r="G73" i="28" s="1"/>
  <c r="E70" i="44"/>
  <c r="F70" i="44" s="1"/>
  <c r="B70" i="44"/>
  <c r="I69" i="39"/>
  <c r="H69" i="46"/>
  <c r="I69" i="46" s="1"/>
  <c r="D71" i="13"/>
  <c r="G70" i="13"/>
  <c r="H70" i="13"/>
  <c r="I71" i="30"/>
  <c r="I72" i="31"/>
  <c r="I73" i="31" s="1"/>
  <c r="H73" i="31"/>
  <c r="I69" i="38"/>
  <c r="F70" i="38"/>
  <c r="H70" i="38" s="1"/>
  <c r="B70" i="38"/>
  <c r="I69" i="45"/>
  <c r="B69" i="41"/>
  <c r="D70" i="46"/>
  <c r="E70" i="46" s="1"/>
  <c r="I72" i="29"/>
  <c r="I73" i="29" s="1"/>
  <c r="H73" i="29"/>
  <c r="B69" i="40"/>
  <c r="F69" i="40"/>
  <c r="B72" i="30"/>
  <c r="F72" i="30"/>
  <c r="H72" i="30" s="1"/>
  <c r="F69" i="42"/>
  <c r="G69" i="42" s="1"/>
  <c r="B69" i="42"/>
  <c r="B71" i="37"/>
  <c r="F71" i="37"/>
  <c r="G71" i="37" s="1"/>
  <c r="B68" i="43"/>
  <c r="F68" i="43"/>
  <c r="G68" i="43" s="1"/>
  <c r="E69" i="41"/>
  <c r="F69" i="41" s="1"/>
  <c r="B70" i="39"/>
  <c r="F70" i="39"/>
  <c r="G70" i="39" s="1"/>
  <c r="F70" i="45"/>
  <c r="H70" i="45" s="1"/>
  <c r="B70" i="45"/>
  <c r="B152" i="13"/>
  <c r="H151" i="13"/>
  <c r="I151" i="13"/>
  <c r="E152" i="13"/>
  <c r="F152" i="13" s="1"/>
  <c r="G72" i="30" l="1"/>
  <c r="G73" i="30" s="1"/>
  <c r="G70" i="38"/>
  <c r="H70" i="44"/>
  <c r="D71" i="44"/>
  <c r="G70" i="44"/>
  <c r="I70" i="13"/>
  <c r="H70" i="39"/>
  <c r="I70" i="39" s="1"/>
  <c r="I70" i="38"/>
  <c r="H68" i="43"/>
  <c r="I68" i="43" s="1"/>
  <c r="H71" i="37"/>
  <c r="D71" i="45"/>
  <c r="E71" i="45" s="1"/>
  <c r="I72" i="28"/>
  <c r="I73" i="28" s="1"/>
  <c r="H73" i="28"/>
  <c r="D70" i="40"/>
  <c r="E70" i="40" s="1"/>
  <c r="D70" i="41"/>
  <c r="E70" i="41" s="1"/>
  <c r="I71" i="37"/>
  <c r="G69" i="40"/>
  <c r="B70" i="46"/>
  <c r="F70" i="46"/>
  <c r="H70" i="46" s="1"/>
  <c r="G69" i="41"/>
  <c r="B71" i="13"/>
  <c r="D70" i="42"/>
  <c r="G70" i="45"/>
  <c r="I70" i="45" s="1"/>
  <c r="D71" i="39"/>
  <c r="E71" i="39" s="1"/>
  <c r="D69" i="43"/>
  <c r="E69" i="43" s="1"/>
  <c r="D72" i="37"/>
  <c r="H69" i="42"/>
  <c r="I69" i="42" s="1"/>
  <c r="H69" i="40"/>
  <c r="H69" i="41"/>
  <c r="D71" i="38"/>
  <c r="E71" i="38" s="1"/>
  <c r="E71" i="13"/>
  <c r="F71" i="13" s="1"/>
  <c r="D153" i="13"/>
  <c r="E153" i="13" s="1"/>
  <c r="G152" i="13"/>
  <c r="I70" i="44" l="1"/>
  <c r="E71" i="44"/>
  <c r="F71" i="44" s="1"/>
  <c r="B71" i="44"/>
  <c r="I69" i="41"/>
  <c r="I69" i="40"/>
  <c r="G70" i="46"/>
  <c r="I70" i="46" s="1"/>
  <c r="D72" i="13"/>
  <c r="G71" i="13"/>
  <c r="H71" i="13"/>
  <c r="F71" i="39"/>
  <c r="G71" i="39" s="1"/>
  <c r="B71" i="39"/>
  <c r="F70" i="41"/>
  <c r="H70" i="41" s="1"/>
  <c r="B70" i="41"/>
  <c r="B70" i="42"/>
  <c r="B69" i="43"/>
  <c r="F69" i="43"/>
  <c r="H69" i="43" s="1"/>
  <c r="F71" i="45"/>
  <c r="B71" i="45"/>
  <c r="B72" i="37"/>
  <c r="I72" i="30"/>
  <c r="I73" i="30" s="1"/>
  <c r="H73" i="30"/>
  <c r="F71" i="38"/>
  <c r="H71" i="38" s="1"/>
  <c r="B71" i="38"/>
  <c r="E72" i="37"/>
  <c r="E73" i="37" s="1"/>
  <c r="E70" i="42"/>
  <c r="F70" i="42" s="1"/>
  <c r="G70" i="42" s="1"/>
  <c r="D71" i="46"/>
  <c r="F70" i="40"/>
  <c r="G70" i="40" s="1"/>
  <c r="B70" i="40"/>
  <c r="I152" i="13"/>
  <c r="H152" i="13"/>
  <c r="B153" i="13"/>
  <c r="F153" i="13"/>
  <c r="G70" i="41" l="1"/>
  <c r="I70" i="41" s="1"/>
  <c r="H71" i="44"/>
  <c r="D72" i="44"/>
  <c r="G71" i="44"/>
  <c r="I71" i="44" s="1"/>
  <c r="H71" i="39"/>
  <c r="I71" i="39" s="1"/>
  <c r="I71" i="13"/>
  <c r="H70" i="40"/>
  <c r="I70" i="40" s="1"/>
  <c r="G69" i="43"/>
  <c r="I69" i="43" s="1"/>
  <c r="D72" i="45"/>
  <c r="E72" i="45" s="1"/>
  <c r="E73" i="45" s="1"/>
  <c r="B71" i="46"/>
  <c r="F72" i="37"/>
  <c r="G71" i="45"/>
  <c r="D72" i="38"/>
  <c r="E72" i="38" s="1"/>
  <c r="E73" i="38" s="1"/>
  <c r="D71" i="42"/>
  <c r="E71" i="42" s="1"/>
  <c r="E71" i="46"/>
  <c r="F71" i="46" s="1"/>
  <c r="H71" i="45"/>
  <c r="D70" i="43"/>
  <c r="E70" i="43" s="1"/>
  <c r="B72" i="13"/>
  <c r="D71" i="40"/>
  <c r="G71" i="38"/>
  <c r="I71" i="38" s="1"/>
  <c r="H70" i="42"/>
  <c r="I70" i="42" s="1"/>
  <c r="D71" i="41"/>
  <c r="D72" i="39"/>
  <c r="E72" i="39" s="1"/>
  <c r="E73" i="39" s="1"/>
  <c r="E72" i="13"/>
  <c r="E73" i="13" s="1"/>
  <c r="D154" i="13"/>
  <c r="E154" i="13" s="1"/>
  <c r="E155" i="13" s="1"/>
  <c r="G153" i="13"/>
  <c r="E72" i="44" l="1"/>
  <c r="E73" i="44" s="1"/>
  <c r="B72" i="44"/>
  <c r="I71" i="45"/>
  <c r="B71" i="40"/>
  <c r="D72" i="46"/>
  <c r="F72" i="38"/>
  <c r="H72" i="38" s="1"/>
  <c r="B72" i="38"/>
  <c r="H71" i="46"/>
  <c r="B71" i="41"/>
  <c r="H72" i="37"/>
  <c r="G72" i="37"/>
  <c r="G73" i="37" s="1"/>
  <c r="B72" i="39"/>
  <c r="F72" i="39"/>
  <c r="G72" i="39" s="1"/>
  <c r="G73" i="39" s="1"/>
  <c r="F72" i="13"/>
  <c r="F72" i="45"/>
  <c r="H72" i="45" s="1"/>
  <c r="B72" i="45"/>
  <c r="E71" i="41"/>
  <c r="F71" i="41" s="1"/>
  <c r="E71" i="40"/>
  <c r="F71" i="40" s="1"/>
  <c r="F70" i="43"/>
  <c r="H70" i="43" s="1"/>
  <c r="B70" i="43"/>
  <c r="F71" i="42"/>
  <c r="G71" i="42" s="1"/>
  <c r="B71" i="42"/>
  <c r="G71" i="46"/>
  <c r="I153" i="13"/>
  <c r="H153" i="13"/>
  <c r="F154" i="13"/>
  <c r="G154" i="13" s="1"/>
  <c r="B154" i="13"/>
  <c r="F72" i="44" l="1"/>
  <c r="G72" i="44" s="1"/>
  <c r="G73" i="44" s="1"/>
  <c r="G72" i="45"/>
  <c r="G73" i="45" s="1"/>
  <c r="H71" i="42"/>
  <c r="I71" i="42" s="1"/>
  <c r="G70" i="43"/>
  <c r="I70" i="43" s="1"/>
  <c r="H72" i="39"/>
  <c r="I72" i="39" s="1"/>
  <c r="I73" i="39" s="1"/>
  <c r="D72" i="40"/>
  <c r="E72" i="40" s="1"/>
  <c r="E73" i="40" s="1"/>
  <c r="G71" i="40"/>
  <c r="H71" i="40"/>
  <c r="D72" i="41"/>
  <c r="E72" i="41" s="1"/>
  <c r="E73" i="41" s="1"/>
  <c r="H71" i="41"/>
  <c r="G71" i="41"/>
  <c r="H73" i="38"/>
  <c r="D72" i="42"/>
  <c r="E72" i="42" s="1"/>
  <c r="E73" i="42" s="1"/>
  <c r="D71" i="43"/>
  <c r="E71" i="43" s="1"/>
  <c r="I71" i="46"/>
  <c r="G72" i="38"/>
  <c r="G73" i="38" s="1"/>
  <c r="H73" i="45"/>
  <c r="I72" i="37"/>
  <c r="I73" i="37" s="1"/>
  <c r="H73" i="37"/>
  <c r="H72" i="13"/>
  <c r="G72" i="13"/>
  <c r="G73" i="13" s="1"/>
  <c r="B72" i="46"/>
  <c r="E72" i="46"/>
  <c r="E73" i="46" s="1"/>
  <c r="H154" i="13"/>
  <c r="H155" i="13" s="1"/>
  <c r="I154" i="13"/>
  <c r="I155" i="13" s="1"/>
  <c r="I72" i="45" l="1"/>
  <c r="I73" i="45" s="1"/>
  <c r="H72" i="44"/>
  <c r="H73" i="44" s="1"/>
  <c r="H73" i="39"/>
  <c r="I72" i="44"/>
  <c r="I73" i="44" s="1"/>
  <c r="F72" i="46"/>
  <c r="G72" i="46" s="1"/>
  <c r="G73" i="46" s="1"/>
  <c r="I71" i="40"/>
  <c r="F71" i="43"/>
  <c r="H71" i="43" s="1"/>
  <c r="B71" i="43"/>
  <c r="I71" i="41"/>
  <c r="I72" i="13"/>
  <c r="I73" i="13" s="1"/>
  <c r="H73" i="13"/>
  <c r="F72" i="42"/>
  <c r="H72" i="42" s="1"/>
  <c r="B72" i="42"/>
  <c r="I72" i="38"/>
  <c r="I73" i="38" s="1"/>
  <c r="B72" i="41"/>
  <c r="F72" i="41"/>
  <c r="H72" i="41" s="1"/>
  <c r="B72" i="40"/>
  <c r="F72" i="40"/>
  <c r="H72" i="40" s="1"/>
  <c r="H72" i="46" l="1"/>
  <c r="H73" i="46" s="1"/>
  <c r="G71" i="43"/>
  <c r="G72" i="40"/>
  <c r="G73" i="40" s="1"/>
  <c r="G72" i="41"/>
  <c r="G73" i="41" s="1"/>
  <c r="G72" i="42"/>
  <c r="G73" i="42" s="1"/>
  <c r="I71" i="43"/>
  <c r="H73" i="42"/>
  <c r="H73" i="41"/>
  <c r="H73" i="40"/>
  <c r="D72" i="43"/>
  <c r="E72" i="43" s="1"/>
  <c r="E73" i="43" s="1"/>
  <c r="I72" i="46" l="1"/>
  <c r="I73" i="46" s="1"/>
  <c r="I72" i="41"/>
  <c r="I73" i="41" s="1"/>
  <c r="I72" i="40"/>
  <c r="I73" i="40" s="1"/>
  <c r="I72" i="42"/>
  <c r="I73" i="42" s="1"/>
  <c r="F72" i="43"/>
  <c r="G72" i="43" s="1"/>
  <c r="G73" i="43" s="1"/>
  <c r="B72" i="43"/>
  <c r="F90" i="2"/>
  <c r="F91" i="2" s="1"/>
  <c r="F92" i="2" s="1"/>
  <c r="F93" i="2" s="1"/>
  <c r="D95" i="47" s="1"/>
  <c r="J96" i="47" s="1"/>
  <c r="E100" i="47" l="1"/>
  <c r="F100" i="47" s="1"/>
  <c r="E101" i="47" s="1"/>
  <c r="H72" i="43"/>
  <c r="I72" i="43" s="1"/>
  <c r="I73" i="43" s="1"/>
  <c r="D95" i="44"/>
  <c r="J96" i="44" s="1"/>
  <c r="D95" i="13"/>
  <c r="D95" i="38"/>
  <c r="J96" i="38" s="1"/>
  <c r="D95" i="45"/>
  <c r="J96" i="45" s="1"/>
  <c r="D95" i="46"/>
  <c r="J96" i="46" s="1"/>
  <c r="D95" i="42"/>
  <c r="J96" i="42" s="1"/>
  <c r="D95" i="41"/>
  <c r="J96" i="41" s="1"/>
  <c r="D95" i="11"/>
  <c r="J96" i="11" s="1"/>
  <c r="D95" i="25"/>
  <c r="J96" i="25" s="1"/>
  <c r="D95" i="23"/>
  <c r="J96" i="23" s="1"/>
  <c r="D95" i="9"/>
  <c r="J96" i="9" s="1"/>
  <c r="D95" i="7"/>
  <c r="J96" i="7" s="1"/>
  <c r="D95" i="24"/>
  <c r="J96" i="24" s="1"/>
  <c r="D95" i="6"/>
  <c r="J96" i="6" s="1"/>
  <c r="D95" i="29"/>
  <c r="J96" i="29" s="1"/>
  <c r="D95" i="22"/>
  <c r="J96" i="22" s="1"/>
  <c r="D95" i="10"/>
  <c r="J96" i="10" s="1"/>
  <c r="D95" i="40"/>
  <c r="J96" i="40" s="1"/>
  <c r="D95" i="28"/>
  <c r="J96" i="28" s="1"/>
  <c r="D95" i="43"/>
  <c r="J96" i="43" s="1"/>
  <c r="D95" i="27"/>
  <c r="J96" i="27" s="1"/>
  <c r="D95" i="3"/>
  <c r="J96" i="3" s="1"/>
  <c r="D95" i="31"/>
  <c r="J96" i="31" s="1"/>
  <c r="D95" i="8"/>
  <c r="J96" i="8" s="1"/>
  <c r="D95" i="5"/>
  <c r="J96" i="5" s="1"/>
  <c r="D95" i="4"/>
  <c r="J96" i="4" s="1"/>
  <c r="D95" i="37"/>
  <c r="J96" i="37" s="1"/>
  <c r="D95" i="39"/>
  <c r="J96" i="39" s="1"/>
  <c r="D95" i="30"/>
  <c r="J96" i="30" s="1"/>
  <c r="D101" i="47" l="1"/>
  <c r="G100" i="47"/>
  <c r="H73" i="43"/>
  <c r="E100" i="46"/>
  <c r="N100" i="38"/>
  <c r="O100" i="38" s="1"/>
  <c r="L100" i="38"/>
  <c r="M100" i="38" s="1"/>
  <c r="B100" i="42"/>
  <c r="B100" i="43"/>
  <c r="B100" i="41"/>
  <c r="H100" i="47" l="1"/>
  <c r="I100" i="47"/>
  <c r="J100" i="47" s="1"/>
  <c r="F101" i="47"/>
  <c r="B101" i="47"/>
  <c r="D100" i="46"/>
  <c r="B100" i="46" s="1"/>
  <c r="E101" i="45"/>
  <c r="P100" i="38"/>
  <c r="D101" i="45"/>
  <c r="D101" i="44"/>
  <c r="J99" i="41"/>
  <c r="J99" i="43"/>
  <c r="D102" i="47" l="1"/>
  <c r="G101" i="47"/>
  <c r="F100" i="46"/>
  <c r="B101" i="45"/>
  <c r="J100" i="45"/>
  <c r="E101" i="44"/>
  <c r="F101" i="44" s="1"/>
  <c r="H101" i="44" s="1"/>
  <c r="B101" i="44"/>
  <c r="F101" i="45"/>
  <c r="H101" i="45" s="1"/>
  <c r="J99" i="42"/>
  <c r="B101" i="41"/>
  <c r="B101" i="42"/>
  <c r="B101" i="38"/>
  <c r="H101" i="47" l="1"/>
  <c r="I101" i="47"/>
  <c r="J101" i="47" s="1"/>
  <c r="E102" i="47"/>
  <c r="F102" i="47" s="1"/>
  <c r="B102" i="47"/>
  <c r="H100" i="46"/>
  <c r="M88" i="46" s="1"/>
  <c r="M89" i="46" s="1"/>
  <c r="D101" i="46"/>
  <c r="B101" i="46" s="1"/>
  <c r="G100" i="46"/>
  <c r="I100" i="46" s="1"/>
  <c r="N88" i="46" s="1"/>
  <c r="E101" i="46"/>
  <c r="J99" i="46"/>
  <c r="G101" i="45"/>
  <c r="I101" i="45" s="1"/>
  <c r="D102" i="45"/>
  <c r="E102" i="45"/>
  <c r="G101" i="44"/>
  <c r="I101" i="44" s="1"/>
  <c r="D102" i="44"/>
  <c r="E102" i="44"/>
  <c r="J100" i="44"/>
  <c r="J100" i="38"/>
  <c r="D102" i="41"/>
  <c r="D102" i="42"/>
  <c r="J100" i="42"/>
  <c r="D102" i="38"/>
  <c r="J100" i="41"/>
  <c r="B106" i="24"/>
  <c r="B101" i="37"/>
  <c r="B111" i="11"/>
  <c r="B107" i="23"/>
  <c r="B104" i="31"/>
  <c r="B100" i="40"/>
  <c r="B109" i="5"/>
  <c r="B105" i="27"/>
  <c r="B108" i="22"/>
  <c r="B109" i="3"/>
  <c r="B104" i="29"/>
  <c r="B110" i="8"/>
  <c r="B101" i="39"/>
  <c r="B103" i="30"/>
  <c r="B110" i="6"/>
  <c r="B101" i="43"/>
  <c r="B109" i="4"/>
  <c r="B111" i="9"/>
  <c r="B104" i="28"/>
  <c r="B108" i="25"/>
  <c r="B112" i="10"/>
  <c r="B112" i="7"/>
  <c r="I45" i="17"/>
  <c r="D103" i="47" l="1"/>
  <c r="G102" i="47"/>
  <c r="E103" i="47"/>
  <c r="V45" i="17"/>
  <c r="F101" i="46"/>
  <c r="E102" i="46" s="1"/>
  <c r="J100" i="46"/>
  <c r="N89" i="46"/>
  <c r="O88" i="46"/>
  <c r="O89" i="46" s="1"/>
  <c r="H101" i="46"/>
  <c r="B102" i="45"/>
  <c r="F102" i="45"/>
  <c r="G102" i="45" s="1"/>
  <c r="I102" i="45" s="1"/>
  <c r="B102" i="44"/>
  <c r="F102" i="44"/>
  <c r="H102" i="44" s="1"/>
  <c r="E102" i="38"/>
  <c r="F102" i="38" s="1"/>
  <c r="H102" i="38" s="1"/>
  <c r="M88" i="38" s="1"/>
  <c r="M89" i="38" s="1"/>
  <c r="B102" i="38"/>
  <c r="E102" i="42"/>
  <c r="F102" i="42" s="1"/>
  <c r="H102" i="42" s="1"/>
  <c r="M88" i="42" s="1"/>
  <c r="M89" i="42" s="1"/>
  <c r="B102" i="42"/>
  <c r="E102" i="41"/>
  <c r="F102" i="41" s="1"/>
  <c r="H102" i="41" s="1"/>
  <c r="M88" i="41" s="1"/>
  <c r="M89" i="41" s="1"/>
  <c r="B102" i="41"/>
  <c r="J100" i="43"/>
  <c r="J102" i="30"/>
  <c r="D102" i="43"/>
  <c r="E102" i="43"/>
  <c r="J103" i="29"/>
  <c r="J108" i="3"/>
  <c r="J100" i="37"/>
  <c r="J107" i="25"/>
  <c r="J103" i="28"/>
  <c r="J99" i="40"/>
  <c r="J100" i="39"/>
  <c r="J107" i="22"/>
  <c r="J109" i="8"/>
  <c r="J103" i="31"/>
  <c r="J111" i="7"/>
  <c r="J111" i="10"/>
  <c r="J110" i="9"/>
  <c r="J109" i="6"/>
  <c r="J105" i="24"/>
  <c r="J104" i="27"/>
  <c r="J106" i="23"/>
  <c r="J110" i="11"/>
  <c r="J108" i="5"/>
  <c r="J108" i="4"/>
  <c r="I41" i="17"/>
  <c r="I37" i="17"/>
  <c r="I40" i="17"/>
  <c r="G101" i="46" l="1"/>
  <c r="I101" i="46" s="1"/>
  <c r="H102" i="47"/>
  <c r="I102" i="47"/>
  <c r="J102" i="47" s="1"/>
  <c r="F103" i="47"/>
  <c r="B103" i="47"/>
  <c r="D102" i="46"/>
  <c r="B102" i="46" s="1"/>
  <c r="F102" i="46"/>
  <c r="E103" i="46" s="1"/>
  <c r="D103" i="46"/>
  <c r="B103" i="46" s="1"/>
  <c r="J101" i="46"/>
  <c r="H102" i="45"/>
  <c r="D103" i="45"/>
  <c r="E103" i="45"/>
  <c r="J101" i="44"/>
  <c r="D103" i="44"/>
  <c r="G102" i="44"/>
  <c r="I102" i="44" s="1"/>
  <c r="E103" i="44"/>
  <c r="J101" i="45"/>
  <c r="J101" i="42"/>
  <c r="J101" i="38"/>
  <c r="G102" i="41"/>
  <c r="I102" i="41" s="1"/>
  <c r="N88" i="41" s="1"/>
  <c r="D103" i="41"/>
  <c r="E103" i="41"/>
  <c r="G102" i="42"/>
  <c r="I102" i="42" s="1"/>
  <c r="N88" i="42" s="1"/>
  <c r="D103" i="42"/>
  <c r="E103" i="42"/>
  <c r="J101" i="41"/>
  <c r="D103" i="38"/>
  <c r="G102" i="38"/>
  <c r="I102" i="38" s="1"/>
  <c r="N88" i="38" s="1"/>
  <c r="B107" i="24"/>
  <c r="B101" i="40"/>
  <c r="B106" i="27"/>
  <c r="B104" i="30"/>
  <c r="B109" i="25"/>
  <c r="B109" i="22"/>
  <c r="B111" i="8"/>
  <c r="B113" i="7"/>
  <c r="B105" i="31"/>
  <c r="B105" i="29"/>
  <c r="B105" i="28"/>
  <c r="B110" i="4"/>
  <c r="B113" i="10"/>
  <c r="B108" i="23"/>
  <c r="B110" i="3"/>
  <c r="B102" i="43"/>
  <c r="F102" i="43"/>
  <c r="H102" i="43" s="1"/>
  <c r="M88" i="43" s="1"/>
  <c r="M89" i="43" s="1"/>
  <c r="B112" i="11"/>
  <c r="B111" i="6"/>
  <c r="B112" i="9"/>
  <c r="B102" i="39"/>
  <c r="B102" i="37"/>
  <c r="B110" i="5"/>
  <c r="I42" i="17"/>
  <c r="D104" i="47" l="1"/>
  <c r="B104" i="47" s="1"/>
  <c r="G103" i="47"/>
  <c r="E104" i="47"/>
  <c r="F104" i="47" s="1"/>
  <c r="N89" i="41"/>
  <c r="O88" i="41"/>
  <c r="O89" i="41" s="1"/>
  <c r="O88" i="38"/>
  <c r="O89" i="38" s="1"/>
  <c r="N89" i="38"/>
  <c r="O88" i="42"/>
  <c r="O89" i="42" s="1"/>
  <c r="N89" i="42"/>
  <c r="G102" i="46"/>
  <c r="I102" i="46" s="1"/>
  <c r="H102" i="46"/>
  <c r="J102" i="46" s="1"/>
  <c r="F103" i="45"/>
  <c r="G103" i="45" s="1"/>
  <c r="I103" i="45" s="1"/>
  <c r="B103" i="42"/>
  <c r="F103" i="46"/>
  <c r="B103" i="45"/>
  <c r="B103" i="44"/>
  <c r="J102" i="45"/>
  <c r="F103" i="44"/>
  <c r="E104" i="44" s="1"/>
  <c r="M88" i="45"/>
  <c r="M89" i="45" s="1"/>
  <c r="F103" i="42"/>
  <c r="D104" i="42" s="1"/>
  <c r="E103" i="38"/>
  <c r="F103" i="38" s="1"/>
  <c r="H103" i="38" s="1"/>
  <c r="B103" i="38"/>
  <c r="B103" i="41"/>
  <c r="F103" i="41"/>
  <c r="H103" i="41" s="1"/>
  <c r="J111" i="9"/>
  <c r="J101" i="43"/>
  <c r="D111" i="5"/>
  <c r="E111" i="5"/>
  <c r="D113" i="9"/>
  <c r="E113" i="9"/>
  <c r="J112" i="10"/>
  <c r="D112" i="6"/>
  <c r="E112" i="6"/>
  <c r="J104" i="29"/>
  <c r="J109" i="5"/>
  <c r="J106" i="24"/>
  <c r="D108" i="24"/>
  <c r="E108" i="24"/>
  <c r="D103" i="37"/>
  <c r="E103" i="37"/>
  <c r="D103" i="39"/>
  <c r="E103" i="39"/>
  <c r="J109" i="3"/>
  <c r="D113" i="11"/>
  <c r="E113" i="11"/>
  <c r="J104" i="28"/>
  <c r="D109" i="23"/>
  <c r="E109" i="23"/>
  <c r="D114" i="10"/>
  <c r="E114" i="10"/>
  <c r="J105" i="27"/>
  <c r="J100" i="40"/>
  <c r="D110" i="22"/>
  <c r="E110" i="22"/>
  <c r="D110" i="25"/>
  <c r="E110" i="25"/>
  <c r="J101" i="37"/>
  <c r="J101" i="39"/>
  <c r="D102" i="40"/>
  <c r="E102" i="40"/>
  <c r="J110" i="6"/>
  <c r="J111" i="11"/>
  <c r="G102" i="43"/>
  <c r="I102" i="43" s="1"/>
  <c r="N88" i="43" s="1"/>
  <c r="D103" i="43"/>
  <c r="E103" i="43"/>
  <c r="J110" i="8"/>
  <c r="J108" i="25"/>
  <c r="D106" i="28"/>
  <c r="E106" i="28"/>
  <c r="D106" i="29"/>
  <c r="E106" i="29"/>
  <c r="D114" i="7"/>
  <c r="E114" i="7"/>
  <c r="D112" i="8"/>
  <c r="E112" i="8"/>
  <c r="D107" i="27"/>
  <c r="E107" i="27"/>
  <c r="J107" i="23"/>
  <c r="J109" i="4"/>
  <c r="J104" i="31"/>
  <c r="J112" i="7"/>
  <c r="D111" i="3"/>
  <c r="E111" i="3"/>
  <c r="D111" i="4"/>
  <c r="E111" i="4"/>
  <c r="J108" i="22"/>
  <c r="J103" i="30"/>
  <c r="D106" i="31"/>
  <c r="E106" i="31"/>
  <c r="D105" i="30"/>
  <c r="E105" i="30"/>
  <c r="I44" i="17"/>
  <c r="H103" i="45" l="1"/>
  <c r="D105" i="47"/>
  <c r="G104" i="47"/>
  <c r="E105" i="47"/>
  <c r="H103" i="47"/>
  <c r="I103" i="47"/>
  <c r="N89" i="43"/>
  <c r="O88" i="43"/>
  <c r="O89" i="43" s="1"/>
  <c r="D104" i="45"/>
  <c r="E104" i="45"/>
  <c r="H103" i="46"/>
  <c r="G103" i="46"/>
  <c r="I103" i="46" s="1"/>
  <c r="D104" i="46"/>
  <c r="B104" i="46" s="1"/>
  <c r="E104" i="46"/>
  <c r="H103" i="42"/>
  <c r="D104" i="44"/>
  <c r="B104" i="44" s="1"/>
  <c r="H103" i="44"/>
  <c r="J102" i="44"/>
  <c r="G103" i="44"/>
  <c r="I103" i="44" s="1"/>
  <c r="N88" i="45"/>
  <c r="J103" i="45"/>
  <c r="G103" i="42"/>
  <c r="I103" i="42" s="1"/>
  <c r="J102" i="38"/>
  <c r="J102" i="41"/>
  <c r="J102" i="42"/>
  <c r="G103" i="38"/>
  <c r="I103" i="38" s="1"/>
  <c r="D104" i="38"/>
  <c r="E104" i="42"/>
  <c r="F104" i="42" s="1"/>
  <c r="H104" i="42" s="1"/>
  <c r="B104" i="42"/>
  <c r="G103" i="41"/>
  <c r="I103" i="41" s="1"/>
  <c r="D104" i="41"/>
  <c r="B106" i="28"/>
  <c r="F106" i="28"/>
  <c r="H106" i="28" s="1"/>
  <c r="M88" i="28" s="1"/>
  <c r="M89" i="28" s="1"/>
  <c r="B109" i="23"/>
  <c r="F109" i="23"/>
  <c r="H109" i="23" s="1"/>
  <c r="M88" i="23" s="1"/>
  <c r="M89" i="23" s="1"/>
  <c r="B103" i="39"/>
  <c r="F103" i="39"/>
  <c r="H103" i="39" s="1"/>
  <c r="M88" i="39" s="1"/>
  <c r="M89" i="39" s="1"/>
  <c r="B108" i="24"/>
  <c r="F108" i="24"/>
  <c r="H108" i="24" s="1"/>
  <c r="M88" i="24" s="1"/>
  <c r="M89" i="24" s="1"/>
  <c r="B111" i="3"/>
  <c r="F111" i="3"/>
  <c r="H111" i="3" s="1"/>
  <c r="M88" i="3" s="1"/>
  <c r="M89" i="3" s="1"/>
  <c r="B111" i="4"/>
  <c r="F111" i="4"/>
  <c r="H111" i="4" s="1"/>
  <c r="M88" i="4" s="1"/>
  <c r="M89" i="4" s="1"/>
  <c r="B107" i="27"/>
  <c r="F107" i="27"/>
  <c r="H107" i="27" s="1"/>
  <c r="M88" i="27" s="1"/>
  <c r="M89" i="27" s="1"/>
  <c r="B114" i="7"/>
  <c r="F114" i="7"/>
  <c r="H114" i="7" s="1"/>
  <c r="M88" i="7" s="1"/>
  <c r="M89" i="7" s="1"/>
  <c r="B106" i="29"/>
  <c r="F106" i="29"/>
  <c r="H106" i="29" s="1"/>
  <c r="M88" i="29" s="1"/>
  <c r="M89" i="29" s="1"/>
  <c r="B103" i="43"/>
  <c r="F103" i="43"/>
  <c r="H103" i="43" s="1"/>
  <c r="B110" i="22"/>
  <c r="F110" i="22"/>
  <c r="H110" i="22" s="1"/>
  <c r="M88" i="22" s="1"/>
  <c r="M89" i="22" s="1"/>
  <c r="B114" i="10"/>
  <c r="F114" i="10"/>
  <c r="H114" i="10" s="1"/>
  <c r="M88" i="10" s="1"/>
  <c r="M89" i="10" s="1"/>
  <c r="B112" i="6"/>
  <c r="F112" i="6"/>
  <c r="H112" i="6" s="1"/>
  <c r="M88" i="6" s="1"/>
  <c r="M89" i="6" s="1"/>
  <c r="B105" i="30"/>
  <c r="F105" i="30"/>
  <c r="H105" i="30" s="1"/>
  <c r="M88" i="30" s="1"/>
  <c r="M89" i="30" s="1"/>
  <c r="B106" i="31"/>
  <c r="F106" i="31"/>
  <c r="H106" i="31" s="1"/>
  <c r="M88" i="31" s="1"/>
  <c r="M89" i="31" s="1"/>
  <c r="B112" i="8"/>
  <c r="F112" i="8"/>
  <c r="H112" i="8" s="1"/>
  <c r="M88" i="8" s="1"/>
  <c r="M89" i="8" s="1"/>
  <c r="B110" i="25"/>
  <c r="F110" i="25"/>
  <c r="H110" i="25" s="1"/>
  <c r="M88" i="25" s="1"/>
  <c r="M89" i="25" s="1"/>
  <c r="B113" i="11"/>
  <c r="F113" i="11"/>
  <c r="H113" i="11" s="1"/>
  <c r="M88" i="11" s="1"/>
  <c r="M89" i="11" s="1"/>
  <c r="B111" i="5"/>
  <c r="F111" i="5"/>
  <c r="H111" i="5" s="1"/>
  <c r="M88" i="5" s="1"/>
  <c r="M89" i="5" s="1"/>
  <c r="B102" i="40"/>
  <c r="F102" i="40"/>
  <c r="H102" i="40" s="1"/>
  <c r="M88" i="40" s="1"/>
  <c r="M89" i="40" s="1"/>
  <c r="B103" i="37"/>
  <c r="F103" i="37"/>
  <c r="H103" i="37" s="1"/>
  <c r="M88" i="37" s="1"/>
  <c r="M89" i="37" s="1"/>
  <c r="B113" i="9"/>
  <c r="F113" i="9"/>
  <c r="H113" i="9" s="1"/>
  <c r="M88" i="9" s="1"/>
  <c r="M89" i="9" s="1"/>
  <c r="I20" i="17"/>
  <c r="I23" i="17"/>
  <c r="I29" i="17"/>
  <c r="I30" i="17"/>
  <c r="I24" i="17"/>
  <c r="I32" i="17"/>
  <c r="I39" i="17"/>
  <c r="I21" i="17"/>
  <c r="I25" i="17"/>
  <c r="I22" i="17"/>
  <c r="I36" i="17"/>
  <c r="I19" i="17"/>
  <c r="I31" i="17"/>
  <c r="I33" i="17"/>
  <c r="I27" i="17"/>
  <c r="I34" i="17"/>
  <c r="I38" i="17"/>
  <c r="I18" i="17"/>
  <c r="I26" i="17"/>
  <c r="I28" i="17"/>
  <c r="I35" i="17"/>
  <c r="H104" i="47" l="1"/>
  <c r="I104" i="47"/>
  <c r="J104" i="47" s="1"/>
  <c r="J103" i="47"/>
  <c r="F105" i="47"/>
  <c r="B105" i="47"/>
  <c r="J103" i="46"/>
  <c r="B104" i="45"/>
  <c r="F104" i="45"/>
  <c r="F104" i="44"/>
  <c r="D105" i="44" s="1"/>
  <c r="B105" i="44" s="1"/>
  <c r="F104" i="46"/>
  <c r="M88" i="44"/>
  <c r="M89" i="44" s="1"/>
  <c r="N88" i="44"/>
  <c r="J103" i="44"/>
  <c r="N89" i="45"/>
  <c r="O88" i="45"/>
  <c r="O89" i="45" s="1"/>
  <c r="J103" i="42"/>
  <c r="G104" i="42"/>
  <c r="I104" i="42" s="1"/>
  <c r="D105" i="42"/>
  <c r="E104" i="38"/>
  <c r="F104" i="38" s="1"/>
  <c r="H104" i="38" s="1"/>
  <c r="B104" i="38"/>
  <c r="E104" i="41"/>
  <c r="F104" i="41" s="1"/>
  <c r="H104" i="41" s="1"/>
  <c r="B104" i="41"/>
  <c r="G103" i="37"/>
  <c r="I103" i="37" s="1"/>
  <c r="N88" i="37" s="1"/>
  <c r="D104" i="37"/>
  <c r="E104" i="37"/>
  <c r="G113" i="11"/>
  <c r="I113" i="11" s="1"/>
  <c r="N88" i="11" s="1"/>
  <c r="D114" i="11"/>
  <c r="E114" i="11"/>
  <c r="J105" i="29"/>
  <c r="G112" i="8"/>
  <c r="I112" i="8" s="1"/>
  <c r="N88" i="8" s="1"/>
  <c r="D113" i="8"/>
  <c r="E113" i="8"/>
  <c r="G103" i="43"/>
  <c r="I103" i="43" s="1"/>
  <c r="D104" i="43"/>
  <c r="E104" i="43"/>
  <c r="G106" i="29"/>
  <c r="I106" i="29" s="1"/>
  <c r="N88" i="29" s="1"/>
  <c r="D107" i="29"/>
  <c r="E107" i="29"/>
  <c r="G107" i="27"/>
  <c r="I107" i="27" s="1"/>
  <c r="N88" i="27" s="1"/>
  <c r="D108" i="27"/>
  <c r="E108" i="27"/>
  <c r="G111" i="4"/>
  <c r="D112" i="4"/>
  <c r="E112" i="4"/>
  <c r="J102" i="37"/>
  <c r="G106" i="28"/>
  <c r="I106" i="28" s="1"/>
  <c r="N88" i="28" s="1"/>
  <c r="D107" i="28"/>
  <c r="E107" i="28"/>
  <c r="J109" i="25"/>
  <c r="G111" i="5"/>
  <c r="D112" i="5"/>
  <c r="E112" i="5"/>
  <c r="J109" i="22"/>
  <c r="J110" i="4"/>
  <c r="G105" i="30"/>
  <c r="I105" i="30" s="1"/>
  <c r="N88" i="30" s="1"/>
  <c r="D106" i="30"/>
  <c r="E106" i="30"/>
  <c r="J107" i="24"/>
  <c r="J108" i="23"/>
  <c r="G110" i="22"/>
  <c r="I110" i="22" s="1"/>
  <c r="N88" i="22" s="1"/>
  <c r="D111" i="22"/>
  <c r="E111" i="22"/>
  <c r="G109" i="23"/>
  <c r="I109" i="23" s="1"/>
  <c r="N88" i="23" s="1"/>
  <c r="D110" i="23"/>
  <c r="E110" i="23"/>
  <c r="J101" i="40"/>
  <c r="J110" i="5"/>
  <c r="G113" i="9"/>
  <c r="I113" i="9" s="1"/>
  <c r="N88" i="9" s="1"/>
  <c r="D114" i="9"/>
  <c r="E114" i="9"/>
  <c r="J112" i="11"/>
  <c r="G102" i="40"/>
  <c r="I102" i="40" s="1"/>
  <c r="N88" i="40" s="1"/>
  <c r="D103" i="40"/>
  <c r="E103" i="40"/>
  <c r="J111" i="8"/>
  <c r="J104" i="30"/>
  <c r="J113" i="10"/>
  <c r="J102" i="43"/>
  <c r="J106" i="27"/>
  <c r="J105" i="28"/>
  <c r="G114" i="7"/>
  <c r="I114" i="7" s="1"/>
  <c r="N88" i="7" s="1"/>
  <c r="D115" i="7"/>
  <c r="E115" i="7"/>
  <c r="J110" i="3"/>
  <c r="G108" i="24"/>
  <c r="I108" i="24" s="1"/>
  <c r="N88" i="24" s="1"/>
  <c r="D109" i="24"/>
  <c r="E109" i="24"/>
  <c r="G103" i="39"/>
  <c r="I103" i="39" s="1"/>
  <c r="N88" i="39" s="1"/>
  <c r="D104" i="39"/>
  <c r="E104" i="39"/>
  <c r="J105" i="31"/>
  <c r="J111" i="6"/>
  <c r="G110" i="25"/>
  <c r="I110" i="25" s="1"/>
  <c r="D111" i="25"/>
  <c r="E111" i="25"/>
  <c r="J113" i="7"/>
  <c r="G106" i="31"/>
  <c r="I106" i="31" s="1"/>
  <c r="N88" i="31" s="1"/>
  <c r="D107" i="31"/>
  <c r="E107" i="31"/>
  <c r="G112" i="6"/>
  <c r="I112" i="6" s="1"/>
  <c r="N88" i="6" s="1"/>
  <c r="D113" i="6"/>
  <c r="E113" i="6"/>
  <c r="J102" i="39"/>
  <c r="G114" i="10"/>
  <c r="I114" i="10" s="1"/>
  <c r="N88" i="10" s="1"/>
  <c r="D115" i="10"/>
  <c r="E115" i="10"/>
  <c r="G111" i="3"/>
  <c r="D112" i="3"/>
  <c r="E112" i="3"/>
  <c r="J112" i="9"/>
  <c r="I43" i="17"/>
  <c r="D106" i="47" l="1"/>
  <c r="G105" i="47"/>
  <c r="E106" i="47"/>
  <c r="N89" i="30"/>
  <c r="O88" i="30"/>
  <c r="O89" i="30" s="1"/>
  <c r="N89" i="37"/>
  <c r="O88" i="37"/>
  <c r="O89" i="37" s="1"/>
  <c r="N89" i="28"/>
  <c r="O88" i="28"/>
  <c r="O89" i="28" s="1"/>
  <c r="O88" i="11"/>
  <c r="O89" i="11" s="1"/>
  <c r="N89" i="11"/>
  <c r="N89" i="31"/>
  <c r="O88" i="31"/>
  <c r="O89" i="31" s="1"/>
  <c r="P108" i="25"/>
  <c r="N88" i="25"/>
  <c r="N89" i="24"/>
  <c r="O88" i="24"/>
  <c r="O89" i="24" s="1"/>
  <c r="N89" i="7"/>
  <c r="O88" i="7"/>
  <c r="O89" i="7" s="1"/>
  <c r="N89" i="23"/>
  <c r="O88" i="23"/>
  <c r="O89" i="23" s="1"/>
  <c r="N89" i="27"/>
  <c r="O88" i="27"/>
  <c r="O89" i="27" s="1"/>
  <c r="N89" i="8"/>
  <c r="O88" i="8"/>
  <c r="O89" i="8" s="1"/>
  <c r="N89" i="10"/>
  <c r="O88" i="10"/>
  <c r="O89" i="10" s="1"/>
  <c r="N89" i="6"/>
  <c r="O88" i="6"/>
  <c r="O89" i="6" s="1"/>
  <c r="N89" i="39"/>
  <c r="O88" i="39"/>
  <c r="O89" i="39" s="1"/>
  <c r="N89" i="40"/>
  <c r="O88" i="40"/>
  <c r="O89" i="40" s="1"/>
  <c r="N89" i="9"/>
  <c r="O88" i="9"/>
  <c r="O89" i="9" s="1"/>
  <c r="N89" i="22"/>
  <c r="O88" i="22"/>
  <c r="O89" i="22" s="1"/>
  <c r="N89" i="29"/>
  <c r="O88" i="29"/>
  <c r="O89" i="29" s="1"/>
  <c r="H104" i="44"/>
  <c r="E105" i="44"/>
  <c r="F105" i="44" s="1"/>
  <c r="H105" i="44" s="1"/>
  <c r="G104" i="44"/>
  <c r="I104" i="44" s="1"/>
  <c r="H104" i="45"/>
  <c r="E105" i="45"/>
  <c r="D105" i="45"/>
  <c r="G104" i="45"/>
  <c r="I104" i="45" s="1"/>
  <c r="H104" i="46"/>
  <c r="G104" i="46"/>
  <c r="I104" i="46" s="1"/>
  <c r="D105" i="46"/>
  <c r="E105" i="46"/>
  <c r="G105" i="44"/>
  <c r="I105" i="44" s="1"/>
  <c r="O88" i="44"/>
  <c r="O89" i="44" s="1"/>
  <c r="N89" i="44"/>
  <c r="J103" i="38"/>
  <c r="D105" i="41"/>
  <c r="G104" i="41"/>
  <c r="I104" i="41" s="1"/>
  <c r="D105" i="38"/>
  <c r="G104" i="38"/>
  <c r="I104" i="38" s="1"/>
  <c r="E105" i="38"/>
  <c r="E105" i="42"/>
  <c r="F105" i="42" s="1"/>
  <c r="H105" i="42" s="1"/>
  <c r="B105" i="42"/>
  <c r="J103" i="41"/>
  <c r="B111" i="25"/>
  <c r="F111" i="25"/>
  <c r="H111" i="25" s="1"/>
  <c r="B104" i="39"/>
  <c r="F104" i="39"/>
  <c r="H104" i="39" s="1"/>
  <c r="B107" i="28"/>
  <c r="F107" i="28"/>
  <c r="H107" i="28" s="1"/>
  <c r="B108" i="27"/>
  <c r="F108" i="27"/>
  <c r="H108" i="27" s="1"/>
  <c r="B112" i="3"/>
  <c r="F112" i="3"/>
  <c r="H112" i="3" s="1"/>
  <c r="I111" i="3"/>
  <c r="N88" i="3" s="1"/>
  <c r="B115" i="10"/>
  <c r="F115" i="10"/>
  <c r="H115" i="10" s="1"/>
  <c r="B107" i="31"/>
  <c r="F107" i="31"/>
  <c r="H107" i="31" s="1"/>
  <c r="B115" i="7"/>
  <c r="F115" i="7"/>
  <c r="H115" i="7" s="1"/>
  <c r="B103" i="40"/>
  <c r="F103" i="40"/>
  <c r="H103" i="40" s="1"/>
  <c r="B112" i="4"/>
  <c r="F112" i="4"/>
  <c r="H112" i="4" s="1"/>
  <c r="B113" i="6"/>
  <c r="F113" i="6"/>
  <c r="H113" i="6" s="1"/>
  <c r="B114" i="9"/>
  <c r="F114" i="9"/>
  <c r="H114" i="9" s="1"/>
  <c r="B106" i="30"/>
  <c r="F106" i="30"/>
  <c r="H106" i="30" s="1"/>
  <c r="B112" i="5"/>
  <c r="F112" i="5"/>
  <c r="H112" i="5" s="1"/>
  <c r="I111" i="4"/>
  <c r="N88" i="4" s="1"/>
  <c r="B104" i="43"/>
  <c r="F104" i="43"/>
  <c r="H104" i="43" s="1"/>
  <c r="B113" i="8"/>
  <c r="F113" i="8"/>
  <c r="H113" i="8" s="1"/>
  <c r="B104" i="37"/>
  <c r="F104" i="37"/>
  <c r="H104" i="37" s="1"/>
  <c r="B109" i="24"/>
  <c r="F109" i="24"/>
  <c r="H109" i="24" s="1"/>
  <c r="B110" i="23"/>
  <c r="F110" i="23"/>
  <c r="H110" i="23" s="1"/>
  <c r="B111" i="22"/>
  <c r="F111" i="22"/>
  <c r="H111" i="22" s="1"/>
  <c r="I111" i="5"/>
  <c r="N88" i="5" s="1"/>
  <c r="B107" i="29"/>
  <c r="F107" i="29"/>
  <c r="H107" i="29" s="1"/>
  <c r="B114" i="11"/>
  <c r="F114" i="11"/>
  <c r="H114" i="11" s="1"/>
  <c r="J104" i="44" l="1"/>
  <c r="H105" i="47"/>
  <c r="M88" i="47" s="1"/>
  <c r="I105" i="47"/>
  <c r="J105" i="47" s="1"/>
  <c r="F106" i="47"/>
  <c r="B106" i="47"/>
  <c r="O88" i="4"/>
  <c r="O89" i="4" s="1"/>
  <c r="N89" i="4"/>
  <c r="N89" i="25"/>
  <c r="O88" i="25"/>
  <c r="O89" i="25" s="1"/>
  <c r="N89" i="5"/>
  <c r="O88" i="5"/>
  <c r="O89" i="5" s="1"/>
  <c r="N89" i="3"/>
  <c r="O88" i="3"/>
  <c r="O89" i="3" s="1"/>
  <c r="O18" i="2"/>
  <c r="O19" i="2" s="1"/>
  <c r="D106" i="44"/>
  <c r="B106" i="44" s="1"/>
  <c r="J104" i="45"/>
  <c r="F105" i="46"/>
  <c r="G105" i="46" s="1"/>
  <c r="I105" i="46" s="1"/>
  <c r="B105" i="45"/>
  <c r="F105" i="45"/>
  <c r="B105" i="46"/>
  <c r="J104" i="46"/>
  <c r="E106" i="44"/>
  <c r="G105" i="42"/>
  <c r="I105" i="42" s="1"/>
  <c r="D106" i="42"/>
  <c r="B105" i="38"/>
  <c r="F105" i="38"/>
  <c r="H105" i="38" s="1"/>
  <c r="J104" i="42"/>
  <c r="E105" i="41"/>
  <c r="F105" i="41" s="1"/>
  <c r="H105" i="41" s="1"/>
  <c r="B105" i="41"/>
  <c r="G113" i="8"/>
  <c r="I113" i="8" s="1"/>
  <c r="D114" i="8"/>
  <c r="E114" i="8"/>
  <c r="J112" i="8"/>
  <c r="J113" i="9"/>
  <c r="J103" i="39"/>
  <c r="J110" i="25"/>
  <c r="J111" i="3"/>
  <c r="J108" i="24"/>
  <c r="J111" i="4"/>
  <c r="J103" i="37"/>
  <c r="G107" i="29"/>
  <c r="I107" i="29" s="1"/>
  <c r="D108" i="29"/>
  <c r="E108" i="29"/>
  <c r="G106" i="30"/>
  <c r="I106" i="30" s="1"/>
  <c r="D107" i="30"/>
  <c r="E107" i="30"/>
  <c r="G110" i="23"/>
  <c r="I110" i="23" s="1"/>
  <c r="D111" i="23"/>
  <c r="E111" i="23"/>
  <c r="G109" i="24"/>
  <c r="I109" i="24" s="1"/>
  <c r="D110" i="24"/>
  <c r="E110" i="24"/>
  <c r="G104" i="37"/>
  <c r="I104" i="37" s="1"/>
  <c r="D105" i="37"/>
  <c r="E105" i="37"/>
  <c r="G104" i="43"/>
  <c r="I104" i="43" s="1"/>
  <c r="D105" i="43"/>
  <c r="E105" i="43"/>
  <c r="J102" i="40"/>
  <c r="J114" i="10"/>
  <c r="J107" i="27"/>
  <c r="J106" i="28"/>
  <c r="G103" i="40"/>
  <c r="I103" i="40" s="1"/>
  <c r="D104" i="40"/>
  <c r="E104" i="40"/>
  <c r="G115" i="7"/>
  <c r="I115" i="7" s="1"/>
  <c r="D116" i="7"/>
  <c r="E116" i="7"/>
  <c r="G115" i="10"/>
  <c r="I115" i="10" s="1"/>
  <c r="D116" i="10"/>
  <c r="E116" i="10"/>
  <c r="G112" i="3"/>
  <c r="D113" i="3"/>
  <c r="E113" i="3"/>
  <c r="G107" i="28"/>
  <c r="I107" i="28" s="1"/>
  <c r="D108" i="28"/>
  <c r="E108" i="28"/>
  <c r="J110" i="22"/>
  <c r="G111" i="25"/>
  <c r="I111" i="25" s="1"/>
  <c r="D112" i="25"/>
  <c r="E112" i="25"/>
  <c r="G111" i="22"/>
  <c r="I111" i="22" s="1"/>
  <c r="D112" i="22"/>
  <c r="E112" i="22"/>
  <c r="G114" i="11"/>
  <c r="I114" i="11" s="1"/>
  <c r="D115" i="11"/>
  <c r="E115" i="11"/>
  <c r="J103" i="43"/>
  <c r="J105" i="30"/>
  <c r="G112" i="5"/>
  <c r="D113" i="5"/>
  <c r="E113" i="5"/>
  <c r="J106" i="31"/>
  <c r="J106" i="29"/>
  <c r="G104" i="39"/>
  <c r="I104" i="39" s="1"/>
  <c r="D105" i="39"/>
  <c r="E105" i="39"/>
  <c r="J111" i="5"/>
  <c r="J112" i="6"/>
  <c r="G114" i="9"/>
  <c r="I114" i="9" s="1"/>
  <c r="D115" i="9"/>
  <c r="E115" i="9"/>
  <c r="J114" i="7"/>
  <c r="G113" i="6"/>
  <c r="I113" i="6" s="1"/>
  <c r="D114" i="6"/>
  <c r="E114" i="6"/>
  <c r="G112" i="4"/>
  <c r="D113" i="4"/>
  <c r="E113" i="4"/>
  <c r="G107" i="31"/>
  <c r="I107" i="31" s="1"/>
  <c r="D108" i="31"/>
  <c r="E108" i="31"/>
  <c r="J113" i="11"/>
  <c r="G108" i="27"/>
  <c r="I108" i="27" s="1"/>
  <c r="D109" i="27"/>
  <c r="E109" i="27"/>
  <c r="J109" i="23"/>
  <c r="F106" i="44" l="1"/>
  <c r="H106" i="44" s="1"/>
  <c r="R135" i="2"/>
  <c r="O20" i="2"/>
  <c r="M89" i="47"/>
  <c r="O88" i="47"/>
  <c r="O89" i="47" s="1"/>
  <c r="N18" i="2"/>
  <c r="D107" i="47"/>
  <c r="B107" i="47" s="1"/>
  <c r="G106" i="47"/>
  <c r="E107" i="47"/>
  <c r="E106" i="46"/>
  <c r="D106" i="46"/>
  <c r="B106" i="46" s="1"/>
  <c r="H105" i="46"/>
  <c r="J105" i="46" s="1"/>
  <c r="G105" i="45"/>
  <c r="I105" i="45" s="1"/>
  <c r="E106" i="45"/>
  <c r="D106" i="45"/>
  <c r="H105" i="45"/>
  <c r="J104" i="38"/>
  <c r="J104" i="41"/>
  <c r="D107" i="44"/>
  <c r="J105" i="44"/>
  <c r="D106" i="41"/>
  <c r="G105" i="41"/>
  <c r="I105" i="41" s="1"/>
  <c r="D106" i="38"/>
  <c r="G105" i="38"/>
  <c r="I105" i="38" s="1"/>
  <c r="E106" i="42"/>
  <c r="F106" i="42" s="1"/>
  <c r="H106" i="42" s="1"/>
  <c r="B106" i="42"/>
  <c r="B109" i="27"/>
  <c r="F109" i="27"/>
  <c r="H109" i="27" s="1"/>
  <c r="B108" i="31"/>
  <c r="F108" i="31"/>
  <c r="H108" i="31" s="1"/>
  <c r="I112" i="4"/>
  <c r="I112" i="5"/>
  <c r="B112" i="25"/>
  <c r="F112" i="25"/>
  <c r="H112" i="25" s="1"/>
  <c r="B113" i="3"/>
  <c r="F113" i="3"/>
  <c r="H113" i="3" s="1"/>
  <c r="B105" i="43"/>
  <c r="F105" i="43"/>
  <c r="H105" i="43" s="1"/>
  <c r="B107" i="30"/>
  <c r="F107" i="30"/>
  <c r="H107" i="30" s="1"/>
  <c r="B112" i="22"/>
  <c r="F112" i="22"/>
  <c r="H112" i="22" s="1"/>
  <c r="B108" i="28"/>
  <c r="F108" i="28"/>
  <c r="H108" i="28" s="1"/>
  <c r="I112" i="3"/>
  <c r="B104" i="40"/>
  <c r="F104" i="40"/>
  <c r="H104" i="40" s="1"/>
  <c r="B111" i="23"/>
  <c r="F111" i="23"/>
  <c r="H111" i="23" s="1"/>
  <c r="B114" i="6"/>
  <c r="F114" i="6"/>
  <c r="H114" i="6" s="1"/>
  <c r="B105" i="39"/>
  <c r="F105" i="39"/>
  <c r="H105" i="39" s="1"/>
  <c r="B115" i="11"/>
  <c r="F115" i="11"/>
  <c r="H115" i="11" s="1"/>
  <c r="B116" i="7"/>
  <c r="F116" i="7"/>
  <c r="H116" i="7" s="1"/>
  <c r="B110" i="24"/>
  <c r="F110" i="24"/>
  <c r="H110" i="24" s="1"/>
  <c r="B114" i="8"/>
  <c r="F114" i="8"/>
  <c r="H114" i="8" s="1"/>
  <c r="B113" i="4"/>
  <c r="F113" i="4"/>
  <c r="H113" i="4" s="1"/>
  <c r="B115" i="9"/>
  <c r="F115" i="9"/>
  <c r="H115" i="9" s="1"/>
  <c r="B113" i="5"/>
  <c r="F113" i="5"/>
  <c r="H113" i="5" s="1"/>
  <c r="B116" i="10"/>
  <c r="F116" i="10"/>
  <c r="H116" i="10" s="1"/>
  <c r="B105" i="37"/>
  <c r="F105" i="37"/>
  <c r="H105" i="37" s="1"/>
  <c r="B108" i="29"/>
  <c r="F108" i="29"/>
  <c r="H108" i="29" s="1"/>
  <c r="I46" i="17"/>
  <c r="G106" i="44" l="1"/>
  <c r="I106" i="44" s="1"/>
  <c r="V46" i="17"/>
  <c r="I48" i="17"/>
  <c r="R134" i="2"/>
  <c r="N19" i="2"/>
  <c r="N20" i="2" s="1"/>
  <c r="P18" i="2"/>
  <c r="P19" i="2" s="1"/>
  <c r="P20" i="2" s="1"/>
  <c r="F107" i="47"/>
  <c r="H106" i="47"/>
  <c r="I106" i="47"/>
  <c r="F106" i="46"/>
  <c r="G106" i="46" s="1"/>
  <c r="I106" i="46" s="1"/>
  <c r="B106" i="45"/>
  <c r="F106" i="45"/>
  <c r="J105" i="45"/>
  <c r="J105" i="42"/>
  <c r="E107" i="44"/>
  <c r="F107" i="44" s="1"/>
  <c r="H107" i="44" s="1"/>
  <c r="B107" i="44"/>
  <c r="D107" i="42"/>
  <c r="G106" i="42"/>
  <c r="I106" i="42" s="1"/>
  <c r="E106" i="38"/>
  <c r="F106" i="38" s="1"/>
  <c r="H106" i="38" s="1"/>
  <c r="B106" i="38"/>
  <c r="E106" i="41"/>
  <c r="F106" i="41" s="1"/>
  <c r="H106" i="41" s="1"/>
  <c r="B106" i="41"/>
  <c r="J113" i="8"/>
  <c r="J109" i="24"/>
  <c r="J115" i="7"/>
  <c r="J114" i="11"/>
  <c r="J104" i="39"/>
  <c r="J113" i="6"/>
  <c r="G114" i="8"/>
  <c r="I114" i="8" s="1"/>
  <c r="D115" i="8"/>
  <c r="E115" i="8"/>
  <c r="G110" i="24"/>
  <c r="I110" i="24" s="1"/>
  <c r="D111" i="24"/>
  <c r="E111" i="24"/>
  <c r="G116" i="7"/>
  <c r="I116" i="7" s="1"/>
  <c r="D117" i="7"/>
  <c r="E117" i="7"/>
  <c r="J111" i="22"/>
  <c r="G105" i="39"/>
  <c r="I105" i="39" s="1"/>
  <c r="D106" i="39"/>
  <c r="E106" i="39"/>
  <c r="J106" i="30"/>
  <c r="J112" i="3"/>
  <c r="J111" i="25"/>
  <c r="J107" i="31"/>
  <c r="J107" i="29"/>
  <c r="J115" i="10"/>
  <c r="G112" i="25"/>
  <c r="I112" i="25" s="1"/>
  <c r="D113" i="25"/>
  <c r="E113" i="25"/>
  <c r="J114" i="9"/>
  <c r="G108" i="31"/>
  <c r="I108" i="31" s="1"/>
  <c r="D109" i="31"/>
  <c r="E109" i="31"/>
  <c r="J104" i="43"/>
  <c r="J104" i="37"/>
  <c r="G108" i="29"/>
  <c r="I108" i="29" s="1"/>
  <c r="D109" i="29"/>
  <c r="E109" i="29"/>
  <c r="G105" i="37"/>
  <c r="I105" i="37" s="1"/>
  <c r="D106" i="37"/>
  <c r="E106" i="37"/>
  <c r="G116" i="10"/>
  <c r="I116" i="10" s="1"/>
  <c r="D117" i="10"/>
  <c r="E117" i="10"/>
  <c r="G113" i="5"/>
  <c r="D114" i="5"/>
  <c r="E114" i="5"/>
  <c r="G115" i="9"/>
  <c r="I115" i="9" s="1"/>
  <c r="D116" i="9"/>
  <c r="E116" i="9"/>
  <c r="G113" i="4"/>
  <c r="D114" i="4"/>
  <c r="E114" i="4"/>
  <c r="J110" i="23"/>
  <c r="J103" i="40"/>
  <c r="J107" i="28"/>
  <c r="G115" i="11"/>
  <c r="I115" i="11" s="1"/>
  <c r="D116" i="11"/>
  <c r="E116" i="11"/>
  <c r="G114" i="6"/>
  <c r="I114" i="6" s="1"/>
  <c r="D115" i="6"/>
  <c r="E115" i="6"/>
  <c r="G111" i="23"/>
  <c r="I111" i="23" s="1"/>
  <c r="D112" i="23"/>
  <c r="E112" i="23"/>
  <c r="G104" i="40"/>
  <c r="I104" i="40" s="1"/>
  <c r="D105" i="40"/>
  <c r="E105" i="40"/>
  <c r="G108" i="28"/>
  <c r="I108" i="28" s="1"/>
  <c r="D109" i="28"/>
  <c r="E109" i="28"/>
  <c r="G112" i="22"/>
  <c r="I112" i="22" s="1"/>
  <c r="D113" i="22"/>
  <c r="E113" i="22"/>
  <c r="G107" i="30"/>
  <c r="I107" i="30" s="1"/>
  <c r="D108" i="30"/>
  <c r="E108" i="30"/>
  <c r="G105" i="43"/>
  <c r="I105" i="43" s="1"/>
  <c r="D106" i="43"/>
  <c r="E106" i="43"/>
  <c r="G113" i="3"/>
  <c r="D114" i="3"/>
  <c r="E114" i="3"/>
  <c r="J112" i="5"/>
  <c r="J112" i="4"/>
  <c r="G109" i="27"/>
  <c r="I109" i="27" s="1"/>
  <c r="D110" i="27"/>
  <c r="E110" i="27"/>
  <c r="J108" i="27"/>
  <c r="J106" i="47" l="1"/>
  <c r="D107" i="46"/>
  <c r="B107" i="46" s="1"/>
  <c r="H106" i="46"/>
  <c r="J106" i="46" s="1"/>
  <c r="E107" i="46"/>
  <c r="D108" i="47"/>
  <c r="G107" i="47"/>
  <c r="E108" i="47"/>
  <c r="G106" i="45"/>
  <c r="I106" i="45" s="1"/>
  <c r="E107" i="45"/>
  <c r="D107" i="45"/>
  <c r="H106" i="45"/>
  <c r="J106" i="44"/>
  <c r="D108" i="44"/>
  <c r="G107" i="44"/>
  <c r="I107" i="44" s="1"/>
  <c r="D107" i="41"/>
  <c r="G106" i="41"/>
  <c r="I106" i="41" s="1"/>
  <c r="D107" i="38"/>
  <c r="G106" i="38"/>
  <c r="I106" i="38" s="1"/>
  <c r="E107" i="42"/>
  <c r="F107" i="42" s="1"/>
  <c r="H107" i="42" s="1"/>
  <c r="B107" i="42"/>
  <c r="J105" i="41"/>
  <c r="J105" i="38"/>
  <c r="B114" i="3"/>
  <c r="F114" i="3"/>
  <c r="H114" i="3" s="1"/>
  <c r="B109" i="28"/>
  <c r="F109" i="28"/>
  <c r="H109" i="28" s="1"/>
  <c r="B116" i="11"/>
  <c r="F116" i="11"/>
  <c r="H116" i="11" s="1"/>
  <c r="B116" i="9"/>
  <c r="F116" i="9"/>
  <c r="H116" i="9" s="1"/>
  <c r="I113" i="5"/>
  <c r="B109" i="29"/>
  <c r="F109" i="29"/>
  <c r="H109" i="29" s="1"/>
  <c r="B113" i="25"/>
  <c r="F113" i="25"/>
  <c r="H113" i="25" s="1"/>
  <c r="B117" i="7"/>
  <c r="F117" i="7"/>
  <c r="H117" i="7" s="1"/>
  <c r="B110" i="27"/>
  <c r="F110" i="27"/>
  <c r="H110" i="27" s="1"/>
  <c r="I113" i="3"/>
  <c r="B113" i="22"/>
  <c r="F113" i="22"/>
  <c r="H113" i="22" s="1"/>
  <c r="B115" i="6"/>
  <c r="F115" i="6"/>
  <c r="H115" i="6" s="1"/>
  <c r="B114" i="4"/>
  <c r="F114" i="4"/>
  <c r="H114" i="4" s="1"/>
  <c r="B106" i="37"/>
  <c r="F106" i="37"/>
  <c r="H106" i="37" s="1"/>
  <c r="B108" i="30"/>
  <c r="F108" i="30"/>
  <c r="H108" i="30" s="1"/>
  <c r="B112" i="23"/>
  <c r="F112" i="23"/>
  <c r="H112" i="23" s="1"/>
  <c r="I113" i="4"/>
  <c r="B117" i="10"/>
  <c r="F117" i="10"/>
  <c r="H117" i="10" s="1"/>
  <c r="B115" i="8"/>
  <c r="F115" i="8"/>
  <c r="H115" i="8" s="1"/>
  <c r="B106" i="43"/>
  <c r="F106" i="43"/>
  <c r="H106" i="43" s="1"/>
  <c r="B105" i="40"/>
  <c r="F105" i="40"/>
  <c r="H105" i="40" s="1"/>
  <c r="B114" i="5"/>
  <c r="F114" i="5"/>
  <c r="H114" i="5" s="1"/>
  <c r="B109" i="31"/>
  <c r="F109" i="31"/>
  <c r="H109" i="31" s="1"/>
  <c r="B106" i="39"/>
  <c r="F106" i="39"/>
  <c r="H106" i="39" s="1"/>
  <c r="B111" i="24"/>
  <c r="F111" i="24"/>
  <c r="H111" i="24" s="1"/>
  <c r="F107" i="46" l="1"/>
  <c r="H107" i="46" s="1"/>
  <c r="J107" i="46" s="1"/>
  <c r="G107" i="46"/>
  <c r="I107" i="46" s="1"/>
  <c r="F108" i="47"/>
  <c r="B108" i="47"/>
  <c r="I107" i="47"/>
  <c r="H107" i="47"/>
  <c r="D108" i="46"/>
  <c r="B108" i="46" s="1"/>
  <c r="E108" i="46"/>
  <c r="J106" i="45"/>
  <c r="B107" i="45"/>
  <c r="F107" i="45"/>
  <c r="E108" i="44"/>
  <c r="F108" i="44" s="1"/>
  <c r="H108" i="44" s="1"/>
  <c r="B108" i="44"/>
  <c r="J106" i="42"/>
  <c r="G107" i="42"/>
  <c r="I107" i="42" s="1"/>
  <c r="D108" i="42"/>
  <c r="E107" i="41"/>
  <c r="F107" i="41" s="1"/>
  <c r="H107" i="41" s="1"/>
  <c r="B107" i="41"/>
  <c r="E107" i="38"/>
  <c r="F107" i="38" s="1"/>
  <c r="H107" i="38" s="1"/>
  <c r="B107" i="38"/>
  <c r="J114" i="8"/>
  <c r="J116" i="10"/>
  <c r="J105" i="39"/>
  <c r="J113" i="3"/>
  <c r="J105" i="43"/>
  <c r="G106" i="39"/>
  <c r="I106" i="39" s="1"/>
  <c r="D107" i="39"/>
  <c r="E107" i="39"/>
  <c r="J111" i="23"/>
  <c r="J107" i="30"/>
  <c r="G115" i="8"/>
  <c r="I115" i="8" s="1"/>
  <c r="D116" i="8"/>
  <c r="E116" i="8"/>
  <c r="G117" i="10"/>
  <c r="I117" i="10" s="1"/>
  <c r="D118" i="10"/>
  <c r="E118" i="10"/>
  <c r="J114" i="6"/>
  <c r="J112" i="22"/>
  <c r="J109" i="27"/>
  <c r="J112" i="25"/>
  <c r="G106" i="37"/>
  <c r="I106" i="37" s="1"/>
  <c r="D107" i="37"/>
  <c r="E107" i="37"/>
  <c r="G114" i="4"/>
  <c r="D115" i="4"/>
  <c r="E115" i="4"/>
  <c r="G115" i="6"/>
  <c r="I115" i="6" s="1"/>
  <c r="D116" i="6"/>
  <c r="E116" i="6"/>
  <c r="G113" i="22"/>
  <c r="I113" i="22" s="1"/>
  <c r="D114" i="22"/>
  <c r="E114" i="22"/>
  <c r="G110" i="27"/>
  <c r="I110" i="27" s="1"/>
  <c r="D111" i="27"/>
  <c r="E111" i="27"/>
  <c r="J108" i="31"/>
  <c r="J113" i="5"/>
  <c r="G116" i="11"/>
  <c r="I116" i="11" s="1"/>
  <c r="D117" i="11"/>
  <c r="E117" i="11"/>
  <c r="G109" i="28"/>
  <c r="I109" i="28" s="1"/>
  <c r="D110" i="28"/>
  <c r="E110" i="28"/>
  <c r="J110" i="24"/>
  <c r="G111" i="24"/>
  <c r="I111" i="24" s="1"/>
  <c r="D112" i="24"/>
  <c r="E112" i="24"/>
  <c r="G109" i="31"/>
  <c r="I109" i="31" s="1"/>
  <c r="D110" i="31"/>
  <c r="E110" i="31"/>
  <c r="G114" i="5"/>
  <c r="D115" i="5"/>
  <c r="E115" i="5"/>
  <c r="G105" i="40"/>
  <c r="I105" i="40" s="1"/>
  <c r="D106" i="40"/>
  <c r="E106" i="40"/>
  <c r="G106" i="43"/>
  <c r="I106" i="43" s="1"/>
  <c r="D107" i="43"/>
  <c r="E107" i="43"/>
  <c r="J105" i="37"/>
  <c r="J113" i="4"/>
  <c r="G112" i="23"/>
  <c r="I112" i="23" s="1"/>
  <c r="D113" i="23"/>
  <c r="E113" i="23"/>
  <c r="G108" i="30"/>
  <c r="I108" i="30" s="1"/>
  <c r="D109" i="30"/>
  <c r="E109" i="30"/>
  <c r="J116" i="7"/>
  <c r="J108" i="29"/>
  <c r="J115" i="9"/>
  <c r="J115" i="11"/>
  <c r="J108" i="28"/>
  <c r="G117" i="7"/>
  <c r="I117" i="7" s="1"/>
  <c r="D118" i="7"/>
  <c r="E118" i="7"/>
  <c r="G113" i="25"/>
  <c r="I113" i="25" s="1"/>
  <c r="D114" i="25"/>
  <c r="E114" i="25"/>
  <c r="G109" i="29"/>
  <c r="I109" i="29" s="1"/>
  <c r="D110" i="29"/>
  <c r="E110" i="29"/>
  <c r="G116" i="9"/>
  <c r="I116" i="9" s="1"/>
  <c r="D117" i="9"/>
  <c r="E117" i="9"/>
  <c r="J104" i="40"/>
  <c r="G114" i="3"/>
  <c r="D115" i="3"/>
  <c r="E115" i="3"/>
  <c r="F108" i="46" l="1"/>
  <c r="J107" i="47"/>
  <c r="G108" i="47"/>
  <c r="D109" i="47"/>
  <c r="E109" i="47"/>
  <c r="D109" i="46"/>
  <c r="B109" i="46" s="1"/>
  <c r="G108" i="46"/>
  <c r="I108" i="46" s="1"/>
  <c r="H108" i="46"/>
  <c r="J108" i="46" s="1"/>
  <c r="E109" i="46"/>
  <c r="D108" i="45"/>
  <c r="G107" i="45"/>
  <c r="I107" i="45" s="1"/>
  <c r="E108" i="45"/>
  <c r="H107" i="45"/>
  <c r="D109" i="44"/>
  <c r="G108" i="44"/>
  <c r="I108" i="44" s="1"/>
  <c r="J107" i="44"/>
  <c r="J106" i="41"/>
  <c r="G107" i="38"/>
  <c r="I107" i="38" s="1"/>
  <c r="D108" i="38"/>
  <c r="G107" i="41"/>
  <c r="I107" i="41" s="1"/>
  <c r="D108" i="41"/>
  <c r="E108" i="42"/>
  <c r="F108" i="42" s="1"/>
  <c r="H108" i="42" s="1"/>
  <c r="B108" i="42"/>
  <c r="J106" i="38"/>
  <c r="B115" i="3"/>
  <c r="F115" i="3"/>
  <c r="H115" i="3" s="1"/>
  <c r="I114" i="3"/>
  <c r="B114" i="25"/>
  <c r="F114" i="25"/>
  <c r="H114" i="25" s="1"/>
  <c r="B110" i="31"/>
  <c r="F110" i="31"/>
  <c r="H110" i="31" s="1"/>
  <c r="B115" i="4"/>
  <c r="F115" i="4"/>
  <c r="H115" i="4" s="1"/>
  <c r="B110" i="29"/>
  <c r="F110" i="29"/>
  <c r="H110" i="29" s="1"/>
  <c r="B115" i="5"/>
  <c r="F115" i="5"/>
  <c r="H115" i="5" s="1"/>
  <c r="B116" i="6"/>
  <c r="F116" i="6"/>
  <c r="H116" i="6" s="1"/>
  <c r="I114" i="4"/>
  <c r="B116" i="8"/>
  <c r="F116" i="8"/>
  <c r="H116" i="8" s="1"/>
  <c r="B117" i="9"/>
  <c r="F117" i="9"/>
  <c r="H117" i="9" s="1"/>
  <c r="B113" i="23"/>
  <c r="F113" i="23"/>
  <c r="H113" i="23" s="1"/>
  <c r="B106" i="40"/>
  <c r="F106" i="40"/>
  <c r="H106" i="40" s="1"/>
  <c r="I114" i="5"/>
  <c r="B117" i="11"/>
  <c r="F117" i="11"/>
  <c r="H117" i="11" s="1"/>
  <c r="B114" i="22"/>
  <c r="F114" i="22"/>
  <c r="H114" i="22" s="1"/>
  <c r="B118" i="10"/>
  <c r="F118" i="10"/>
  <c r="H118" i="10" s="1"/>
  <c r="B107" i="39"/>
  <c r="F107" i="39"/>
  <c r="H107" i="39" s="1"/>
  <c r="B118" i="7"/>
  <c r="F118" i="7"/>
  <c r="H118" i="7" s="1"/>
  <c r="B109" i="30"/>
  <c r="F109" i="30"/>
  <c r="H109" i="30" s="1"/>
  <c r="B107" i="43"/>
  <c r="F107" i="43"/>
  <c r="H107" i="43" s="1"/>
  <c r="B112" i="24"/>
  <c r="F112" i="24"/>
  <c r="H112" i="24" s="1"/>
  <c r="B110" i="28"/>
  <c r="F110" i="28"/>
  <c r="H110" i="28" s="1"/>
  <c r="B111" i="27"/>
  <c r="F111" i="27"/>
  <c r="H111" i="27" s="1"/>
  <c r="B107" i="37"/>
  <c r="F107" i="37"/>
  <c r="H107" i="37" s="1"/>
  <c r="F109" i="46" l="1"/>
  <c r="B109" i="47"/>
  <c r="F109" i="47"/>
  <c r="I108" i="47"/>
  <c r="H108" i="47"/>
  <c r="H109" i="46"/>
  <c r="E110" i="46"/>
  <c r="D110" i="46"/>
  <c r="F110" i="46" s="1"/>
  <c r="G109" i="46"/>
  <c r="I109" i="46" s="1"/>
  <c r="J107" i="45"/>
  <c r="B108" i="45"/>
  <c r="F108" i="45"/>
  <c r="H108" i="45" s="1"/>
  <c r="E109" i="44"/>
  <c r="F109" i="44" s="1"/>
  <c r="H109" i="44" s="1"/>
  <c r="B109" i="44"/>
  <c r="G108" i="42"/>
  <c r="I108" i="42" s="1"/>
  <c r="D109" i="42"/>
  <c r="E108" i="41"/>
  <c r="F108" i="41" s="1"/>
  <c r="H108" i="41" s="1"/>
  <c r="B108" i="41"/>
  <c r="J114" i="3"/>
  <c r="J107" i="42"/>
  <c r="E108" i="38"/>
  <c r="F108" i="38" s="1"/>
  <c r="H108" i="38" s="1"/>
  <c r="B108" i="38"/>
  <c r="J110" i="27"/>
  <c r="J106" i="43"/>
  <c r="J112" i="23"/>
  <c r="J115" i="8"/>
  <c r="J115" i="6"/>
  <c r="J106" i="39"/>
  <c r="G107" i="37"/>
  <c r="I107" i="37" s="1"/>
  <c r="D108" i="37"/>
  <c r="E108" i="37"/>
  <c r="G111" i="27"/>
  <c r="I111" i="27" s="1"/>
  <c r="D112" i="27"/>
  <c r="E112" i="27"/>
  <c r="G110" i="28"/>
  <c r="I110" i="28" s="1"/>
  <c r="D111" i="28"/>
  <c r="E111" i="28"/>
  <c r="J105" i="40"/>
  <c r="G118" i="7"/>
  <c r="I118" i="7" s="1"/>
  <c r="D119" i="7"/>
  <c r="E119" i="7"/>
  <c r="G117" i="11"/>
  <c r="I117" i="11" s="1"/>
  <c r="D118" i="11"/>
  <c r="E118" i="11"/>
  <c r="G106" i="40"/>
  <c r="I106" i="40" s="1"/>
  <c r="D107" i="40"/>
  <c r="E107" i="40"/>
  <c r="J109" i="29"/>
  <c r="G116" i="8"/>
  <c r="I116" i="8" s="1"/>
  <c r="D117" i="8"/>
  <c r="E117" i="8"/>
  <c r="G116" i="6"/>
  <c r="I116" i="6" s="1"/>
  <c r="D117" i="6"/>
  <c r="E117" i="6"/>
  <c r="G115" i="5"/>
  <c r="D116" i="5"/>
  <c r="E116" i="5"/>
  <c r="G110" i="29"/>
  <c r="I110" i="29" s="1"/>
  <c r="D111" i="29"/>
  <c r="E111" i="29"/>
  <c r="G115" i="4"/>
  <c r="D116" i="4"/>
  <c r="E116" i="4"/>
  <c r="J109" i="28"/>
  <c r="G110" i="31"/>
  <c r="I110" i="31" s="1"/>
  <c r="D111" i="31"/>
  <c r="E111" i="31"/>
  <c r="J108" i="30"/>
  <c r="G114" i="25"/>
  <c r="I114" i="25" s="1"/>
  <c r="D115" i="25"/>
  <c r="E115" i="25"/>
  <c r="J117" i="10"/>
  <c r="J113" i="22"/>
  <c r="J116" i="11"/>
  <c r="G112" i="24"/>
  <c r="I112" i="24" s="1"/>
  <c r="D113" i="24"/>
  <c r="E113" i="24"/>
  <c r="G107" i="43"/>
  <c r="I107" i="43" s="1"/>
  <c r="D108" i="43"/>
  <c r="E108" i="43"/>
  <c r="G109" i="30"/>
  <c r="I109" i="30" s="1"/>
  <c r="D110" i="30"/>
  <c r="E110" i="30"/>
  <c r="G107" i="39"/>
  <c r="I107" i="39" s="1"/>
  <c r="D108" i="39"/>
  <c r="E108" i="39"/>
  <c r="G118" i="10"/>
  <c r="I118" i="10" s="1"/>
  <c r="D119" i="10"/>
  <c r="E119" i="10"/>
  <c r="G114" i="22"/>
  <c r="I114" i="22" s="1"/>
  <c r="D115" i="22"/>
  <c r="E115" i="22"/>
  <c r="J114" i="5"/>
  <c r="G113" i="23"/>
  <c r="I113" i="23" s="1"/>
  <c r="D114" i="23"/>
  <c r="E114" i="23"/>
  <c r="G117" i="9"/>
  <c r="I117" i="9" s="1"/>
  <c r="D118" i="9"/>
  <c r="E118" i="9"/>
  <c r="J114" i="4"/>
  <c r="J109" i="31"/>
  <c r="J113" i="25"/>
  <c r="J106" i="37"/>
  <c r="J111" i="24"/>
  <c r="J117" i="7"/>
  <c r="J116" i="9"/>
  <c r="G115" i="3"/>
  <c r="D116" i="3"/>
  <c r="E116" i="3"/>
  <c r="J109" i="46" l="1"/>
  <c r="J108" i="47"/>
  <c r="G109" i="47"/>
  <c r="D110" i="47"/>
  <c r="E110" i="47"/>
  <c r="G110" i="46"/>
  <c r="I110" i="46" s="1"/>
  <c r="H110" i="46"/>
  <c r="D111" i="46"/>
  <c r="B111" i="46" s="1"/>
  <c r="E111" i="46"/>
  <c r="B110" i="46"/>
  <c r="D109" i="45"/>
  <c r="G108" i="45"/>
  <c r="I108" i="45" s="1"/>
  <c r="J108" i="45" s="1"/>
  <c r="E109" i="45"/>
  <c r="D110" i="44"/>
  <c r="G109" i="44"/>
  <c r="I109" i="44" s="1"/>
  <c r="J108" i="44"/>
  <c r="J107" i="41"/>
  <c r="D109" i="41"/>
  <c r="G108" i="41"/>
  <c r="I108" i="41" s="1"/>
  <c r="E109" i="41"/>
  <c r="G108" i="38"/>
  <c r="I108" i="38" s="1"/>
  <c r="D109" i="38"/>
  <c r="E109" i="42"/>
  <c r="F109" i="42" s="1"/>
  <c r="H109" i="42" s="1"/>
  <c r="B109" i="42"/>
  <c r="J107" i="38"/>
  <c r="I115" i="3"/>
  <c r="B114" i="23"/>
  <c r="F114" i="23"/>
  <c r="H114" i="23" s="1"/>
  <c r="B115" i="22"/>
  <c r="F115" i="22"/>
  <c r="H115" i="22" s="1"/>
  <c r="B108" i="43"/>
  <c r="F108" i="43"/>
  <c r="H108" i="43" s="1"/>
  <c r="B111" i="29"/>
  <c r="F111" i="29"/>
  <c r="H111" i="29" s="1"/>
  <c r="I115" i="5"/>
  <c r="B118" i="11"/>
  <c r="F118" i="11"/>
  <c r="H118" i="11" s="1"/>
  <c r="B110" i="30"/>
  <c r="F110" i="30"/>
  <c r="H110" i="30" s="1"/>
  <c r="B115" i="25"/>
  <c r="F115" i="25"/>
  <c r="H115" i="25" s="1"/>
  <c r="B111" i="31"/>
  <c r="F111" i="31"/>
  <c r="H111" i="31" s="1"/>
  <c r="B116" i="4"/>
  <c r="F116" i="4"/>
  <c r="H116" i="4" s="1"/>
  <c r="B117" i="8"/>
  <c r="F117" i="8"/>
  <c r="H117" i="8" s="1"/>
  <c r="B107" i="40"/>
  <c r="F107" i="40"/>
  <c r="H107" i="40" s="1"/>
  <c r="B108" i="37"/>
  <c r="F108" i="37"/>
  <c r="H108" i="37" s="1"/>
  <c r="B118" i="9"/>
  <c r="F118" i="9"/>
  <c r="H118" i="9" s="1"/>
  <c r="B108" i="39"/>
  <c r="F108" i="39"/>
  <c r="H108" i="39" s="1"/>
  <c r="I115" i="4"/>
  <c r="B117" i="6"/>
  <c r="F117" i="6"/>
  <c r="H117" i="6" s="1"/>
  <c r="B112" i="27"/>
  <c r="F112" i="27"/>
  <c r="H112" i="27" s="1"/>
  <c r="B116" i="3"/>
  <c r="F116" i="3"/>
  <c r="H116" i="3" s="1"/>
  <c r="B119" i="10"/>
  <c r="F119" i="10"/>
  <c r="H119" i="10" s="1"/>
  <c r="B113" i="24"/>
  <c r="F113" i="24"/>
  <c r="H113" i="24" s="1"/>
  <c r="B116" i="5"/>
  <c r="F116" i="5"/>
  <c r="H116" i="5" s="1"/>
  <c r="B119" i="7"/>
  <c r="F119" i="7"/>
  <c r="H119" i="7" s="1"/>
  <c r="B111" i="28"/>
  <c r="F111" i="28"/>
  <c r="H111" i="28" s="1"/>
  <c r="J110" i="46" l="1"/>
  <c r="F110" i="47"/>
  <c r="B110" i="47"/>
  <c r="I109" i="47"/>
  <c r="H109" i="47"/>
  <c r="F111" i="46"/>
  <c r="H111" i="46" s="1"/>
  <c r="F109" i="45"/>
  <c r="G109" i="45" s="1"/>
  <c r="I109" i="45" s="1"/>
  <c r="B109" i="45"/>
  <c r="B109" i="41"/>
  <c r="E110" i="44"/>
  <c r="F110" i="44" s="1"/>
  <c r="H110" i="44" s="1"/>
  <c r="B110" i="44"/>
  <c r="F109" i="41"/>
  <c r="D110" i="41" s="1"/>
  <c r="G109" i="42"/>
  <c r="I109" i="42" s="1"/>
  <c r="D110" i="42"/>
  <c r="J108" i="42"/>
  <c r="E109" i="38"/>
  <c r="F109" i="38" s="1"/>
  <c r="H109" i="38" s="1"/>
  <c r="B109" i="38"/>
  <c r="J109" i="30"/>
  <c r="J117" i="11"/>
  <c r="J107" i="43"/>
  <c r="J118" i="10"/>
  <c r="J115" i="3"/>
  <c r="J118" i="7"/>
  <c r="J111" i="27"/>
  <c r="G119" i="7"/>
  <c r="I119" i="7" s="1"/>
  <c r="D120" i="7"/>
  <c r="E120" i="7"/>
  <c r="G116" i="5"/>
  <c r="D117" i="5"/>
  <c r="E117" i="5"/>
  <c r="J107" i="39"/>
  <c r="G116" i="3"/>
  <c r="D117" i="3"/>
  <c r="E117" i="3"/>
  <c r="G112" i="27"/>
  <c r="I112" i="27" s="1"/>
  <c r="D113" i="27"/>
  <c r="E113" i="27"/>
  <c r="J116" i="8"/>
  <c r="J115" i="4"/>
  <c r="J114" i="25"/>
  <c r="G108" i="39"/>
  <c r="I108" i="39" s="1"/>
  <c r="D109" i="39"/>
  <c r="E109" i="39"/>
  <c r="J114" i="22"/>
  <c r="G108" i="37"/>
  <c r="I108" i="37" s="1"/>
  <c r="D109" i="37"/>
  <c r="E109" i="37"/>
  <c r="G107" i="40"/>
  <c r="I107" i="40" s="1"/>
  <c r="D108" i="40"/>
  <c r="E108" i="40"/>
  <c r="J110" i="29"/>
  <c r="G111" i="31"/>
  <c r="I111" i="31" s="1"/>
  <c r="D112" i="31"/>
  <c r="E112" i="31"/>
  <c r="J113" i="23"/>
  <c r="J115" i="5"/>
  <c r="G114" i="23"/>
  <c r="I114" i="23" s="1"/>
  <c r="D115" i="23"/>
  <c r="E115" i="23"/>
  <c r="J112" i="24"/>
  <c r="G111" i="28"/>
  <c r="I111" i="28" s="1"/>
  <c r="D112" i="28"/>
  <c r="E112" i="28"/>
  <c r="J116" i="6"/>
  <c r="G113" i="24"/>
  <c r="I113" i="24" s="1"/>
  <c r="D114" i="24"/>
  <c r="E114" i="24"/>
  <c r="G119" i="10"/>
  <c r="I119" i="10" s="1"/>
  <c r="D120" i="10"/>
  <c r="E120" i="10"/>
  <c r="J107" i="37"/>
  <c r="J106" i="40"/>
  <c r="G117" i="6"/>
  <c r="I117" i="6" s="1"/>
  <c r="D118" i="6"/>
  <c r="E118" i="6"/>
  <c r="J110" i="31"/>
  <c r="J117" i="9"/>
  <c r="G118" i="9"/>
  <c r="I118" i="9" s="1"/>
  <c r="D119" i="9"/>
  <c r="E119" i="9"/>
  <c r="G117" i="8"/>
  <c r="I117" i="8" s="1"/>
  <c r="D118" i="8"/>
  <c r="E118" i="8"/>
  <c r="G116" i="4"/>
  <c r="D117" i="4"/>
  <c r="E117" i="4"/>
  <c r="G115" i="25"/>
  <c r="I115" i="25" s="1"/>
  <c r="D116" i="25"/>
  <c r="E116" i="25"/>
  <c r="G110" i="30"/>
  <c r="I110" i="30" s="1"/>
  <c r="D111" i="30"/>
  <c r="E111" i="30"/>
  <c r="J110" i="28"/>
  <c r="G118" i="11"/>
  <c r="I118" i="11" s="1"/>
  <c r="D119" i="11"/>
  <c r="E119" i="11"/>
  <c r="G111" i="29"/>
  <c r="I111" i="29" s="1"/>
  <c r="D112" i="29"/>
  <c r="E112" i="29"/>
  <c r="G108" i="43"/>
  <c r="I108" i="43" s="1"/>
  <c r="D109" i="43"/>
  <c r="E109" i="43"/>
  <c r="G115" i="22"/>
  <c r="I115" i="22" s="1"/>
  <c r="D116" i="22"/>
  <c r="E116" i="22"/>
  <c r="J109" i="47" l="1"/>
  <c r="D111" i="47"/>
  <c r="G110" i="47"/>
  <c r="E111" i="47"/>
  <c r="E112" i="46"/>
  <c r="G111" i="46"/>
  <c r="I111" i="46" s="1"/>
  <c r="J111" i="46" s="1"/>
  <c r="D112" i="46"/>
  <c r="E110" i="45"/>
  <c r="D110" i="45"/>
  <c r="H109" i="45"/>
  <c r="J109" i="45" s="1"/>
  <c r="B110" i="45"/>
  <c r="H109" i="41"/>
  <c r="G109" i="41"/>
  <c r="I109" i="41" s="1"/>
  <c r="G110" i="44"/>
  <c r="I110" i="44" s="1"/>
  <c r="D111" i="44"/>
  <c r="J109" i="44"/>
  <c r="J108" i="38"/>
  <c r="G109" i="38"/>
  <c r="I109" i="38" s="1"/>
  <c r="D110" i="38"/>
  <c r="E110" i="42"/>
  <c r="F110" i="42" s="1"/>
  <c r="H110" i="42" s="1"/>
  <c r="B110" i="42"/>
  <c r="E110" i="41"/>
  <c r="F110" i="41" s="1"/>
  <c r="H110" i="41" s="1"/>
  <c r="B110" i="41"/>
  <c r="J108" i="41"/>
  <c r="B119" i="11"/>
  <c r="F119" i="11"/>
  <c r="H119" i="11" s="1"/>
  <c r="B111" i="30"/>
  <c r="F111" i="30"/>
  <c r="H111" i="30" s="1"/>
  <c r="B119" i="9"/>
  <c r="F119" i="9"/>
  <c r="H119" i="9" s="1"/>
  <c r="B118" i="8"/>
  <c r="F118" i="8"/>
  <c r="H118" i="8" s="1"/>
  <c r="B118" i="6"/>
  <c r="F118" i="6"/>
  <c r="H118" i="6" s="1"/>
  <c r="B114" i="24"/>
  <c r="F114" i="24"/>
  <c r="H114" i="24" s="1"/>
  <c r="B112" i="28"/>
  <c r="F112" i="28"/>
  <c r="H112" i="28" s="1"/>
  <c r="B115" i="23"/>
  <c r="F115" i="23"/>
  <c r="H115" i="23" s="1"/>
  <c r="B109" i="37"/>
  <c r="F109" i="37"/>
  <c r="H109" i="37" s="1"/>
  <c r="B109" i="39"/>
  <c r="F109" i="39"/>
  <c r="H109" i="39" s="1"/>
  <c r="B120" i="7"/>
  <c r="F120" i="7"/>
  <c r="H120" i="7" s="1"/>
  <c r="B117" i="4"/>
  <c r="F117" i="4"/>
  <c r="H117" i="4" s="1"/>
  <c r="B120" i="10"/>
  <c r="F120" i="10"/>
  <c r="H120" i="10" s="1"/>
  <c r="B112" i="31"/>
  <c r="F112" i="31"/>
  <c r="H112" i="31" s="1"/>
  <c r="B108" i="40"/>
  <c r="F108" i="40"/>
  <c r="H108" i="40" s="1"/>
  <c r="B117" i="3"/>
  <c r="F117" i="3"/>
  <c r="H117" i="3" s="1"/>
  <c r="B117" i="5"/>
  <c r="F117" i="5"/>
  <c r="H117" i="5" s="1"/>
  <c r="B112" i="29"/>
  <c r="F112" i="29"/>
  <c r="H112" i="29" s="1"/>
  <c r="B109" i="43"/>
  <c r="F109" i="43"/>
  <c r="H109" i="43" s="1"/>
  <c r="B116" i="22"/>
  <c r="F116" i="22"/>
  <c r="H116" i="22" s="1"/>
  <c r="B116" i="25"/>
  <c r="F116" i="25"/>
  <c r="H116" i="25" s="1"/>
  <c r="I116" i="4"/>
  <c r="B113" i="27"/>
  <c r="F113" i="27"/>
  <c r="H113" i="27" s="1"/>
  <c r="I116" i="3"/>
  <c r="I116" i="5"/>
  <c r="H110" i="47" l="1"/>
  <c r="I110" i="47"/>
  <c r="F111" i="47"/>
  <c r="B111" i="47"/>
  <c r="F110" i="45"/>
  <c r="H110" i="45" s="1"/>
  <c r="B112" i="46"/>
  <c r="F112" i="46"/>
  <c r="H112" i="46"/>
  <c r="E111" i="45"/>
  <c r="D111" i="45"/>
  <c r="G110" i="45"/>
  <c r="I110" i="45" s="1"/>
  <c r="J110" i="45" s="1"/>
  <c r="E111" i="44"/>
  <c r="F111" i="44" s="1"/>
  <c r="H111" i="44" s="1"/>
  <c r="B111" i="44"/>
  <c r="J109" i="41"/>
  <c r="G110" i="41"/>
  <c r="I110" i="41" s="1"/>
  <c r="D111" i="41"/>
  <c r="D111" i="42"/>
  <c r="G110" i="42"/>
  <c r="I110" i="42" s="1"/>
  <c r="E111" i="42"/>
  <c r="J109" i="42"/>
  <c r="E110" i="38"/>
  <c r="F110" i="38" s="1"/>
  <c r="H110" i="38" s="1"/>
  <c r="B110" i="38"/>
  <c r="J118" i="9"/>
  <c r="J118" i="11"/>
  <c r="J111" i="31"/>
  <c r="J108" i="37"/>
  <c r="J116" i="5"/>
  <c r="G113" i="27"/>
  <c r="I113" i="27" s="1"/>
  <c r="D114" i="27"/>
  <c r="E114" i="27"/>
  <c r="J116" i="4"/>
  <c r="J108" i="43"/>
  <c r="J117" i="6"/>
  <c r="J111" i="29"/>
  <c r="J110" i="30"/>
  <c r="J119" i="7"/>
  <c r="G117" i="3"/>
  <c r="D118" i="3"/>
  <c r="E118" i="3"/>
  <c r="G112" i="31"/>
  <c r="I112" i="31" s="1"/>
  <c r="D113" i="31"/>
  <c r="E113" i="31"/>
  <c r="J111" i="28"/>
  <c r="G120" i="10"/>
  <c r="I120" i="10" s="1"/>
  <c r="D121" i="10"/>
  <c r="E121" i="10"/>
  <c r="G120" i="7"/>
  <c r="I120" i="7" s="1"/>
  <c r="D121" i="7"/>
  <c r="E121" i="7"/>
  <c r="G109" i="37"/>
  <c r="I109" i="37" s="1"/>
  <c r="D110" i="37"/>
  <c r="E110" i="37"/>
  <c r="G112" i="28"/>
  <c r="I112" i="28" s="1"/>
  <c r="D113" i="28"/>
  <c r="E113" i="28"/>
  <c r="G118" i="6"/>
  <c r="I118" i="6" s="1"/>
  <c r="D119" i="6"/>
  <c r="E119" i="6"/>
  <c r="G118" i="8"/>
  <c r="I118" i="8" s="1"/>
  <c r="D119" i="8"/>
  <c r="E119" i="8"/>
  <c r="G119" i="9"/>
  <c r="I119" i="9" s="1"/>
  <c r="D120" i="9"/>
  <c r="E120" i="9"/>
  <c r="G111" i="30"/>
  <c r="I111" i="30" s="1"/>
  <c r="D112" i="30"/>
  <c r="E112" i="30"/>
  <c r="J115" i="22"/>
  <c r="J116" i="3"/>
  <c r="J107" i="40"/>
  <c r="J119" i="10"/>
  <c r="G116" i="25"/>
  <c r="I116" i="25" s="1"/>
  <c r="D117" i="25"/>
  <c r="E117" i="25"/>
  <c r="G116" i="22"/>
  <c r="I116" i="22" s="1"/>
  <c r="D117" i="22"/>
  <c r="E117" i="22"/>
  <c r="J117" i="8"/>
  <c r="G109" i="43"/>
  <c r="I109" i="43" s="1"/>
  <c r="D110" i="43"/>
  <c r="E110" i="43"/>
  <c r="G112" i="29"/>
  <c r="I112" i="29" s="1"/>
  <c r="D113" i="29"/>
  <c r="E113" i="29"/>
  <c r="G117" i="5"/>
  <c r="D118" i="5"/>
  <c r="E118" i="5"/>
  <c r="J108" i="39"/>
  <c r="G108" i="40"/>
  <c r="I108" i="40" s="1"/>
  <c r="D109" i="40"/>
  <c r="E109" i="40"/>
  <c r="J114" i="23"/>
  <c r="J113" i="24"/>
  <c r="G117" i="4"/>
  <c r="D118" i="4"/>
  <c r="E118" i="4"/>
  <c r="G109" i="39"/>
  <c r="I109" i="39" s="1"/>
  <c r="D110" i="39"/>
  <c r="E110" i="39"/>
  <c r="G115" i="23"/>
  <c r="I115" i="23" s="1"/>
  <c r="D116" i="23"/>
  <c r="E116" i="23"/>
  <c r="G114" i="24"/>
  <c r="I114" i="24" s="1"/>
  <c r="D115" i="24"/>
  <c r="E115" i="24"/>
  <c r="J112" i="27"/>
  <c r="J115" i="25"/>
  <c r="G119" i="11"/>
  <c r="I119" i="11" s="1"/>
  <c r="D120" i="11"/>
  <c r="E120" i="11"/>
  <c r="J110" i="47" l="1"/>
  <c r="D112" i="47"/>
  <c r="G111" i="47"/>
  <c r="E112" i="47"/>
  <c r="E113" i="46"/>
  <c r="G112" i="46"/>
  <c r="I112" i="46" s="1"/>
  <c r="J112" i="46" s="1"/>
  <c r="D113" i="46"/>
  <c r="B111" i="45"/>
  <c r="F111" i="45"/>
  <c r="B111" i="42"/>
  <c r="G111" i="44"/>
  <c r="I111" i="44" s="1"/>
  <c r="D112" i="44"/>
  <c r="E112" i="44"/>
  <c r="J110" i="44"/>
  <c r="D111" i="38"/>
  <c r="G110" i="38"/>
  <c r="I110" i="38" s="1"/>
  <c r="E111" i="38"/>
  <c r="J109" i="38"/>
  <c r="E111" i="41"/>
  <c r="F111" i="41" s="1"/>
  <c r="H111" i="41" s="1"/>
  <c r="B111" i="41"/>
  <c r="F111" i="42"/>
  <c r="H111" i="42" s="1"/>
  <c r="B110" i="39"/>
  <c r="F110" i="39"/>
  <c r="H110" i="39" s="1"/>
  <c r="I117" i="4"/>
  <c r="B109" i="40"/>
  <c r="F109" i="40"/>
  <c r="H109" i="40" s="1"/>
  <c r="B118" i="5"/>
  <c r="F118" i="5"/>
  <c r="H118" i="5" s="1"/>
  <c r="B112" i="30"/>
  <c r="F112" i="30"/>
  <c r="H112" i="30" s="1"/>
  <c r="B113" i="28"/>
  <c r="F113" i="28"/>
  <c r="H113" i="28" s="1"/>
  <c r="B118" i="3"/>
  <c r="F118" i="3"/>
  <c r="H118" i="3" s="1"/>
  <c r="B116" i="23"/>
  <c r="F116" i="23"/>
  <c r="H116" i="23" s="1"/>
  <c r="I117" i="5"/>
  <c r="B117" i="25"/>
  <c r="F117" i="25"/>
  <c r="H117" i="25" s="1"/>
  <c r="B119" i="6"/>
  <c r="F119" i="6"/>
  <c r="H119" i="6" s="1"/>
  <c r="B121" i="10"/>
  <c r="F121" i="10"/>
  <c r="H121" i="10" s="1"/>
  <c r="B113" i="31"/>
  <c r="F113" i="31"/>
  <c r="H113" i="31" s="1"/>
  <c r="I117" i="3"/>
  <c r="B114" i="27"/>
  <c r="F114" i="27"/>
  <c r="H114" i="27" s="1"/>
  <c r="B120" i="11"/>
  <c r="F120" i="11"/>
  <c r="H120" i="11" s="1"/>
  <c r="B115" i="24"/>
  <c r="F115" i="24"/>
  <c r="H115" i="24" s="1"/>
  <c r="B110" i="43"/>
  <c r="F110" i="43"/>
  <c r="H110" i="43" s="1"/>
  <c r="B117" i="22"/>
  <c r="F117" i="22"/>
  <c r="H117" i="22" s="1"/>
  <c r="B119" i="8"/>
  <c r="F119" i="8"/>
  <c r="H119" i="8" s="1"/>
  <c r="B121" i="7"/>
  <c r="F121" i="7"/>
  <c r="H121" i="7" s="1"/>
  <c r="B118" i="4"/>
  <c r="F118" i="4"/>
  <c r="H118" i="4" s="1"/>
  <c r="B113" i="29"/>
  <c r="F113" i="29"/>
  <c r="H113" i="29" s="1"/>
  <c r="B120" i="9"/>
  <c r="F120" i="9"/>
  <c r="H120" i="9" s="1"/>
  <c r="B110" i="37"/>
  <c r="F110" i="37"/>
  <c r="H110" i="37" s="1"/>
  <c r="I111" i="47" l="1"/>
  <c r="H111" i="47"/>
  <c r="B112" i="47"/>
  <c r="F112" i="47"/>
  <c r="F113" i="46"/>
  <c r="B113" i="46"/>
  <c r="H113" i="46"/>
  <c r="H111" i="45"/>
  <c r="D112" i="45"/>
  <c r="E112" i="45"/>
  <c r="G111" i="45"/>
  <c r="I111" i="45" s="1"/>
  <c r="B112" i="44"/>
  <c r="B111" i="38"/>
  <c r="F112" i="44"/>
  <c r="E113" i="44" s="1"/>
  <c r="J110" i="41"/>
  <c r="F111" i="38"/>
  <c r="D112" i="38" s="1"/>
  <c r="D112" i="41"/>
  <c r="G111" i="41"/>
  <c r="I111" i="41" s="1"/>
  <c r="G111" i="42"/>
  <c r="I111" i="42" s="1"/>
  <c r="D112" i="42"/>
  <c r="E112" i="42"/>
  <c r="J110" i="42"/>
  <c r="J117" i="4"/>
  <c r="J108" i="40"/>
  <c r="J117" i="3"/>
  <c r="J109" i="37"/>
  <c r="J112" i="31"/>
  <c r="J120" i="7"/>
  <c r="J118" i="8"/>
  <c r="J116" i="22"/>
  <c r="G113" i="29"/>
  <c r="I113" i="29" s="1"/>
  <c r="D114" i="29"/>
  <c r="E114" i="29"/>
  <c r="J114" i="24"/>
  <c r="G121" i="7"/>
  <c r="I121" i="7" s="1"/>
  <c r="D122" i="7"/>
  <c r="E122" i="7"/>
  <c r="G119" i="8"/>
  <c r="I119" i="8" s="1"/>
  <c r="D120" i="8"/>
  <c r="E120" i="8"/>
  <c r="G117" i="22"/>
  <c r="I117" i="22" s="1"/>
  <c r="D118" i="22"/>
  <c r="E118" i="22"/>
  <c r="J115" i="23"/>
  <c r="J119" i="11"/>
  <c r="G114" i="27"/>
  <c r="I114" i="27" s="1"/>
  <c r="D115" i="27"/>
  <c r="E115" i="27"/>
  <c r="G113" i="31"/>
  <c r="I113" i="31" s="1"/>
  <c r="D114" i="31"/>
  <c r="E114" i="31"/>
  <c r="J112" i="28"/>
  <c r="J111" i="30"/>
  <c r="J117" i="5"/>
  <c r="J109" i="39"/>
  <c r="G118" i="3"/>
  <c r="D119" i="3"/>
  <c r="E119" i="3"/>
  <c r="G113" i="28"/>
  <c r="I113" i="28" s="1"/>
  <c r="D114" i="28"/>
  <c r="E114" i="28"/>
  <c r="G112" i="30"/>
  <c r="I112" i="30" s="1"/>
  <c r="D113" i="30"/>
  <c r="E113" i="30"/>
  <c r="G118" i="5"/>
  <c r="D119" i="5"/>
  <c r="E119" i="5"/>
  <c r="G110" i="37"/>
  <c r="I110" i="37" s="1"/>
  <c r="D111" i="37"/>
  <c r="E111" i="37"/>
  <c r="G120" i="9"/>
  <c r="I120" i="9" s="1"/>
  <c r="D121" i="9"/>
  <c r="E121" i="9"/>
  <c r="J109" i="43"/>
  <c r="G118" i="4"/>
  <c r="D119" i="4"/>
  <c r="E119" i="4"/>
  <c r="J113" i="27"/>
  <c r="J120" i="10"/>
  <c r="J118" i="6"/>
  <c r="J116" i="25"/>
  <c r="G110" i="43"/>
  <c r="I110" i="43" s="1"/>
  <c r="D111" i="43"/>
  <c r="E111" i="43"/>
  <c r="G115" i="24"/>
  <c r="I115" i="24" s="1"/>
  <c r="D116" i="24"/>
  <c r="E116" i="24"/>
  <c r="G120" i="11"/>
  <c r="I120" i="11" s="1"/>
  <c r="D121" i="11"/>
  <c r="E121" i="11"/>
  <c r="G121" i="10"/>
  <c r="I121" i="10" s="1"/>
  <c r="D122" i="10"/>
  <c r="E122" i="10"/>
  <c r="G119" i="6"/>
  <c r="I119" i="6" s="1"/>
  <c r="D120" i="6"/>
  <c r="E120" i="6"/>
  <c r="G117" i="25"/>
  <c r="I117" i="25" s="1"/>
  <c r="D118" i="25"/>
  <c r="E118" i="25"/>
  <c r="G116" i="23"/>
  <c r="I116" i="23" s="1"/>
  <c r="D117" i="23"/>
  <c r="E117" i="23"/>
  <c r="J119" i="9"/>
  <c r="J112" i="29"/>
  <c r="G109" i="40"/>
  <c r="I109" i="40" s="1"/>
  <c r="D110" i="40"/>
  <c r="E110" i="40"/>
  <c r="G110" i="39"/>
  <c r="I110" i="39" s="1"/>
  <c r="D111" i="39"/>
  <c r="E111" i="39"/>
  <c r="D113" i="47" l="1"/>
  <c r="G112" i="47"/>
  <c r="J111" i="47"/>
  <c r="D114" i="46"/>
  <c r="E114" i="46"/>
  <c r="G113" i="46"/>
  <c r="I113" i="46" s="1"/>
  <c r="J113" i="46" s="1"/>
  <c r="J111" i="45"/>
  <c r="F112" i="45"/>
  <c r="H112" i="45" s="1"/>
  <c r="B112" i="45"/>
  <c r="B112" i="42"/>
  <c r="H112" i="44"/>
  <c r="B112" i="38"/>
  <c r="H111" i="38"/>
  <c r="D113" i="44"/>
  <c r="G112" i="44"/>
  <c r="I112" i="44" s="1"/>
  <c r="J111" i="44"/>
  <c r="E112" i="38"/>
  <c r="F112" i="38" s="1"/>
  <c r="H112" i="38" s="1"/>
  <c r="G111" i="38"/>
  <c r="I111" i="38" s="1"/>
  <c r="F112" i="42"/>
  <c r="H112" i="42" s="1"/>
  <c r="J110" i="38"/>
  <c r="E112" i="41"/>
  <c r="F112" i="41" s="1"/>
  <c r="H112" i="41" s="1"/>
  <c r="B112" i="41"/>
  <c r="B120" i="6"/>
  <c r="F120" i="6"/>
  <c r="H120" i="6" s="1"/>
  <c r="B111" i="43"/>
  <c r="F111" i="43"/>
  <c r="H111" i="43" s="1"/>
  <c r="I118" i="4"/>
  <c r="B113" i="30"/>
  <c r="F113" i="30"/>
  <c r="H113" i="30" s="1"/>
  <c r="B115" i="27"/>
  <c r="F115" i="27"/>
  <c r="H115" i="27" s="1"/>
  <c r="B120" i="8"/>
  <c r="F120" i="8"/>
  <c r="H120" i="8" s="1"/>
  <c r="B110" i="40"/>
  <c r="F110" i="40"/>
  <c r="H110" i="40" s="1"/>
  <c r="B118" i="25"/>
  <c r="F118" i="25"/>
  <c r="H118" i="25" s="1"/>
  <c r="B116" i="24"/>
  <c r="F116" i="24"/>
  <c r="H116" i="24" s="1"/>
  <c r="B119" i="5"/>
  <c r="F119" i="5"/>
  <c r="H119" i="5" s="1"/>
  <c r="B114" i="31"/>
  <c r="F114" i="31"/>
  <c r="H114" i="31" s="1"/>
  <c r="B118" i="22"/>
  <c r="F118" i="22"/>
  <c r="H118" i="22" s="1"/>
  <c r="B111" i="39"/>
  <c r="F111" i="39"/>
  <c r="H111" i="39" s="1"/>
  <c r="B117" i="23"/>
  <c r="F117" i="23"/>
  <c r="H117" i="23" s="1"/>
  <c r="B121" i="11"/>
  <c r="F121" i="11"/>
  <c r="H121" i="11" s="1"/>
  <c r="B111" i="37"/>
  <c r="F111" i="37"/>
  <c r="H111" i="37" s="1"/>
  <c r="I118" i="5"/>
  <c r="B119" i="3"/>
  <c r="F119" i="3"/>
  <c r="H119" i="3" s="1"/>
  <c r="B122" i="10"/>
  <c r="F122" i="10"/>
  <c r="H122" i="10" s="1"/>
  <c r="B119" i="4"/>
  <c r="F119" i="4"/>
  <c r="H119" i="4" s="1"/>
  <c r="B121" i="9"/>
  <c r="F121" i="9"/>
  <c r="H121" i="9" s="1"/>
  <c r="B114" i="28"/>
  <c r="F114" i="28"/>
  <c r="H114" i="28" s="1"/>
  <c r="I118" i="3"/>
  <c r="B122" i="7"/>
  <c r="F122" i="7"/>
  <c r="H122" i="7" s="1"/>
  <c r="B114" i="29"/>
  <c r="F114" i="29"/>
  <c r="H114" i="29" s="1"/>
  <c r="I112" i="47" l="1"/>
  <c r="H112" i="47"/>
  <c r="F114" i="46"/>
  <c r="G114" i="46" s="1"/>
  <c r="I114" i="46" s="1"/>
  <c r="E113" i="47"/>
  <c r="F113" i="47" s="1"/>
  <c r="B113" i="47"/>
  <c r="B114" i="46"/>
  <c r="E113" i="45"/>
  <c r="D113" i="45"/>
  <c r="G112" i="45"/>
  <c r="I112" i="45" s="1"/>
  <c r="J112" i="45" s="1"/>
  <c r="B113" i="44"/>
  <c r="F113" i="44"/>
  <c r="G113" i="44" s="1"/>
  <c r="I113" i="44" s="1"/>
  <c r="J112" i="44"/>
  <c r="J111" i="38"/>
  <c r="J111" i="42"/>
  <c r="D113" i="41"/>
  <c r="G112" i="41"/>
  <c r="I112" i="41" s="1"/>
  <c r="J111" i="41"/>
  <c r="J114" i="27"/>
  <c r="D113" i="38"/>
  <c r="G112" i="38"/>
  <c r="I112" i="38" s="1"/>
  <c r="E113" i="38"/>
  <c r="D113" i="42"/>
  <c r="G112" i="42"/>
  <c r="I112" i="42" s="1"/>
  <c r="E113" i="42"/>
  <c r="J110" i="43"/>
  <c r="J120" i="9"/>
  <c r="J113" i="31"/>
  <c r="J118" i="5"/>
  <c r="J118" i="3"/>
  <c r="G114" i="28"/>
  <c r="I114" i="28" s="1"/>
  <c r="D115" i="28"/>
  <c r="E115" i="28"/>
  <c r="J120" i="11"/>
  <c r="G114" i="29"/>
  <c r="I114" i="29" s="1"/>
  <c r="D115" i="29"/>
  <c r="E115" i="29"/>
  <c r="J110" i="37"/>
  <c r="G119" i="4"/>
  <c r="D120" i="4"/>
  <c r="E120" i="4"/>
  <c r="G122" i="10"/>
  <c r="I122" i="10" s="1"/>
  <c r="D123" i="10"/>
  <c r="E123" i="10"/>
  <c r="J117" i="22"/>
  <c r="G119" i="3"/>
  <c r="D120" i="3"/>
  <c r="E120" i="3"/>
  <c r="G111" i="37"/>
  <c r="I111" i="37" s="1"/>
  <c r="D112" i="37"/>
  <c r="E112" i="37"/>
  <c r="G121" i="11"/>
  <c r="I121" i="11" s="1"/>
  <c r="D122" i="11"/>
  <c r="E122" i="11"/>
  <c r="G117" i="23"/>
  <c r="I117" i="23" s="1"/>
  <c r="D118" i="23"/>
  <c r="E118" i="23"/>
  <c r="G111" i="39"/>
  <c r="I111" i="39" s="1"/>
  <c r="D112" i="39"/>
  <c r="E112" i="39"/>
  <c r="G118" i="22"/>
  <c r="I118" i="22" s="1"/>
  <c r="D119" i="22"/>
  <c r="E119" i="22"/>
  <c r="G114" i="31"/>
  <c r="I114" i="31" s="1"/>
  <c r="D115" i="31"/>
  <c r="E115" i="31"/>
  <c r="G119" i="5"/>
  <c r="D120" i="5"/>
  <c r="E120" i="5"/>
  <c r="G116" i="24"/>
  <c r="I116" i="24" s="1"/>
  <c r="D117" i="24"/>
  <c r="E117" i="24"/>
  <c r="G118" i="25"/>
  <c r="I118" i="25" s="1"/>
  <c r="D119" i="25"/>
  <c r="E119" i="25"/>
  <c r="J110" i="39"/>
  <c r="J121" i="7"/>
  <c r="G115" i="27"/>
  <c r="I115" i="27" s="1"/>
  <c r="D116" i="27"/>
  <c r="E116" i="27"/>
  <c r="G113" i="30"/>
  <c r="I113" i="30" s="1"/>
  <c r="D114" i="30"/>
  <c r="E114" i="30"/>
  <c r="J118" i="4"/>
  <c r="J121" i="10"/>
  <c r="G122" i="7"/>
  <c r="I122" i="7" s="1"/>
  <c r="D123" i="7"/>
  <c r="E123" i="7"/>
  <c r="G121" i="9"/>
  <c r="I121" i="9" s="1"/>
  <c r="D122" i="9"/>
  <c r="E122" i="9"/>
  <c r="J115" i="24"/>
  <c r="J117" i="25"/>
  <c r="J109" i="40"/>
  <c r="J119" i="8"/>
  <c r="J112" i="30"/>
  <c r="J119" i="6"/>
  <c r="G110" i="40"/>
  <c r="I110" i="40" s="1"/>
  <c r="D111" i="40"/>
  <c r="E111" i="40"/>
  <c r="J113" i="29"/>
  <c r="G120" i="8"/>
  <c r="I120" i="8" s="1"/>
  <c r="D121" i="8"/>
  <c r="E121" i="8"/>
  <c r="J113" i="28"/>
  <c r="G111" i="43"/>
  <c r="I111" i="43" s="1"/>
  <c r="D112" i="43"/>
  <c r="E112" i="43"/>
  <c r="G120" i="6"/>
  <c r="I120" i="6" s="1"/>
  <c r="D121" i="6"/>
  <c r="E121" i="6"/>
  <c r="J116" i="23"/>
  <c r="D115" i="46" l="1"/>
  <c r="E115" i="46"/>
  <c r="F115" i="46" s="1"/>
  <c r="H115" i="46" s="1"/>
  <c r="H114" i="46"/>
  <c r="J114" i="46" s="1"/>
  <c r="D114" i="47"/>
  <c r="G113" i="47"/>
  <c r="E114" i="47"/>
  <c r="J112" i="47"/>
  <c r="B115" i="46"/>
  <c r="F113" i="45"/>
  <c r="H113" i="45" s="1"/>
  <c r="B113" i="45"/>
  <c r="B113" i="42"/>
  <c r="E114" i="44"/>
  <c r="D114" i="44"/>
  <c r="H113" i="44"/>
  <c r="B113" i="38"/>
  <c r="F113" i="42"/>
  <c r="G113" i="42" s="1"/>
  <c r="I113" i="42" s="1"/>
  <c r="F113" i="38"/>
  <c r="G113" i="38" s="1"/>
  <c r="I113" i="38" s="1"/>
  <c r="E113" i="41"/>
  <c r="F113" i="41" s="1"/>
  <c r="H113" i="41" s="1"/>
  <c r="B113" i="41"/>
  <c r="B121" i="6"/>
  <c r="F121" i="6"/>
  <c r="H121" i="6" s="1"/>
  <c r="B122" i="9"/>
  <c r="F122" i="9"/>
  <c r="H122" i="9" s="1"/>
  <c r="B114" i="30"/>
  <c r="F114" i="30"/>
  <c r="H114" i="30" s="1"/>
  <c r="B119" i="25"/>
  <c r="F119" i="25"/>
  <c r="H119" i="25" s="1"/>
  <c r="B119" i="22"/>
  <c r="F119" i="22"/>
  <c r="H119" i="22" s="1"/>
  <c r="B112" i="37"/>
  <c r="F112" i="37"/>
  <c r="H112" i="37" s="1"/>
  <c r="I119" i="3"/>
  <c r="B112" i="43"/>
  <c r="F112" i="43"/>
  <c r="H112" i="43" s="1"/>
  <c r="B115" i="31"/>
  <c r="F115" i="31"/>
  <c r="H115" i="31" s="1"/>
  <c r="B122" i="11"/>
  <c r="F122" i="11"/>
  <c r="H122" i="11" s="1"/>
  <c r="B120" i="5"/>
  <c r="F120" i="5"/>
  <c r="H120" i="5" s="1"/>
  <c r="B118" i="23"/>
  <c r="F118" i="23"/>
  <c r="H118" i="23" s="1"/>
  <c r="B120" i="4"/>
  <c r="F120" i="4"/>
  <c r="H120" i="4" s="1"/>
  <c r="B115" i="29"/>
  <c r="F115" i="29"/>
  <c r="H115" i="29" s="1"/>
  <c r="B115" i="28"/>
  <c r="F115" i="28"/>
  <c r="H115" i="28" s="1"/>
  <c r="B121" i="8"/>
  <c r="F121" i="8"/>
  <c r="H121" i="8" s="1"/>
  <c r="B111" i="40"/>
  <c r="F111" i="40"/>
  <c r="H111" i="40" s="1"/>
  <c r="B123" i="7"/>
  <c r="F123" i="7"/>
  <c r="H123" i="7" s="1"/>
  <c r="B116" i="27"/>
  <c r="F116" i="27"/>
  <c r="H116" i="27" s="1"/>
  <c r="B117" i="24"/>
  <c r="F117" i="24"/>
  <c r="H117" i="24" s="1"/>
  <c r="I119" i="5"/>
  <c r="B112" i="39"/>
  <c r="F112" i="39"/>
  <c r="H112" i="39" s="1"/>
  <c r="B120" i="3"/>
  <c r="F120" i="3"/>
  <c r="H120" i="3" s="1"/>
  <c r="B123" i="10"/>
  <c r="F123" i="10"/>
  <c r="H123" i="10" s="1"/>
  <c r="I119" i="4"/>
  <c r="H113" i="47" l="1"/>
  <c r="I113" i="47"/>
  <c r="B114" i="47"/>
  <c r="F114" i="47"/>
  <c r="G115" i="46"/>
  <c r="I115" i="46" s="1"/>
  <c r="J115" i="46" s="1"/>
  <c r="D116" i="46"/>
  <c r="E116" i="46"/>
  <c r="F114" i="44"/>
  <c r="G114" i="44" s="1"/>
  <c r="I114" i="44" s="1"/>
  <c r="G113" i="45"/>
  <c r="I113" i="45" s="1"/>
  <c r="J113" i="45" s="1"/>
  <c r="D114" i="45"/>
  <c r="E114" i="45"/>
  <c r="H113" i="42"/>
  <c r="B114" i="44"/>
  <c r="H113" i="38"/>
  <c r="D114" i="42"/>
  <c r="B114" i="42" s="1"/>
  <c r="D114" i="38"/>
  <c r="J113" i="44"/>
  <c r="J112" i="42"/>
  <c r="J112" i="38"/>
  <c r="G113" i="41"/>
  <c r="I113" i="41" s="1"/>
  <c r="D114" i="41"/>
  <c r="E114" i="42"/>
  <c r="E114" i="38"/>
  <c r="J112" i="41"/>
  <c r="J121" i="11"/>
  <c r="J111" i="37"/>
  <c r="J118" i="25"/>
  <c r="J119" i="3"/>
  <c r="J111" i="39"/>
  <c r="J115" i="27"/>
  <c r="J122" i="7"/>
  <c r="J110" i="40"/>
  <c r="J111" i="43"/>
  <c r="J120" i="8"/>
  <c r="J114" i="29"/>
  <c r="J119" i="5"/>
  <c r="J113" i="30"/>
  <c r="J114" i="28"/>
  <c r="J119" i="4"/>
  <c r="G120" i="3"/>
  <c r="D121" i="3"/>
  <c r="E121" i="3"/>
  <c r="G112" i="39"/>
  <c r="I112" i="39" s="1"/>
  <c r="D113" i="39"/>
  <c r="E113" i="39"/>
  <c r="G117" i="24"/>
  <c r="I117" i="24" s="1"/>
  <c r="D118" i="24"/>
  <c r="E118" i="24"/>
  <c r="G123" i="7"/>
  <c r="I123" i="7" s="1"/>
  <c r="D124" i="7"/>
  <c r="E124" i="7"/>
  <c r="G121" i="8"/>
  <c r="I121" i="8" s="1"/>
  <c r="D122" i="8"/>
  <c r="E122" i="8"/>
  <c r="G115" i="29"/>
  <c r="I115" i="29" s="1"/>
  <c r="D116" i="29"/>
  <c r="E116" i="29"/>
  <c r="J121" i="9"/>
  <c r="G112" i="43"/>
  <c r="I112" i="43" s="1"/>
  <c r="D113" i="43"/>
  <c r="E113" i="43"/>
  <c r="J114" i="31"/>
  <c r="J118" i="22"/>
  <c r="J116" i="24"/>
  <c r="G123" i="10"/>
  <c r="I123" i="10" s="1"/>
  <c r="D124" i="10"/>
  <c r="E124" i="10"/>
  <c r="J117" i="23"/>
  <c r="G116" i="27"/>
  <c r="I116" i="27" s="1"/>
  <c r="D117" i="27"/>
  <c r="E117" i="27"/>
  <c r="G111" i="40"/>
  <c r="I111" i="40" s="1"/>
  <c r="D112" i="40"/>
  <c r="E112" i="40"/>
  <c r="G115" i="28"/>
  <c r="I115" i="28" s="1"/>
  <c r="D116" i="28"/>
  <c r="E116" i="28"/>
  <c r="G120" i="4"/>
  <c r="D121" i="4"/>
  <c r="E121" i="4"/>
  <c r="G118" i="23"/>
  <c r="I118" i="23" s="1"/>
  <c r="D119" i="23"/>
  <c r="E119" i="23"/>
  <c r="G120" i="5"/>
  <c r="D121" i="5"/>
  <c r="E121" i="5"/>
  <c r="G122" i="11"/>
  <c r="I122" i="11" s="1"/>
  <c r="D123" i="11"/>
  <c r="E123" i="11"/>
  <c r="G115" i="31"/>
  <c r="I115" i="31" s="1"/>
  <c r="D116" i="31"/>
  <c r="E116" i="31"/>
  <c r="J120" i="6"/>
  <c r="J122" i="10"/>
  <c r="G112" i="37"/>
  <c r="I112" i="37" s="1"/>
  <c r="D113" i="37"/>
  <c r="E113" i="37"/>
  <c r="G119" i="22"/>
  <c r="I119" i="22" s="1"/>
  <c r="D120" i="22"/>
  <c r="E120" i="22"/>
  <c r="G119" i="25"/>
  <c r="I119" i="25" s="1"/>
  <c r="D120" i="25"/>
  <c r="E120" i="25"/>
  <c r="G114" i="30"/>
  <c r="I114" i="30" s="1"/>
  <c r="D115" i="30"/>
  <c r="E115" i="30"/>
  <c r="G122" i="9"/>
  <c r="I122" i="9" s="1"/>
  <c r="D123" i="9"/>
  <c r="E123" i="9"/>
  <c r="G121" i="6"/>
  <c r="I121" i="6" s="1"/>
  <c r="D122" i="6"/>
  <c r="E122" i="6"/>
  <c r="J113" i="47" l="1"/>
  <c r="G114" i="47"/>
  <c r="D115" i="47"/>
  <c r="E115" i="47"/>
  <c r="B116" i="46"/>
  <c r="F116" i="46"/>
  <c r="H114" i="44"/>
  <c r="E115" i="44"/>
  <c r="D115" i="44"/>
  <c r="B114" i="45"/>
  <c r="F114" i="45"/>
  <c r="H114" i="45" s="1"/>
  <c r="F114" i="42"/>
  <c r="G114" i="42" s="1"/>
  <c r="I114" i="42" s="1"/>
  <c r="B114" i="38"/>
  <c r="F114" i="38"/>
  <c r="G114" i="38" s="1"/>
  <c r="I114" i="38" s="1"/>
  <c r="J113" i="38"/>
  <c r="J113" i="42"/>
  <c r="E114" i="41"/>
  <c r="F114" i="41" s="1"/>
  <c r="H114" i="41" s="1"/>
  <c r="B114" i="41"/>
  <c r="B115" i="30"/>
  <c r="F115" i="30"/>
  <c r="H115" i="30" s="1"/>
  <c r="B121" i="5"/>
  <c r="F121" i="5"/>
  <c r="H121" i="5" s="1"/>
  <c r="B112" i="40"/>
  <c r="F112" i="40"/>
  <c r="H112" i="40" s="1"/>
  <c r="B122" i="8"/>
  <c r="F122" i="8"/>
  <c r="H122" i="8" s="1"/>
  <c r="B121" i="3"/>
  <c r="F121" i="3"/>
  <c r="H121" i="3" s="1"/>
  <c r="B123" i="9"/>
  <c r="F123" i="9"/>
  <c r="H123" i="9" s="1"/>
  <c r="B113" i="37"/>
  <c r="F113" i="37"/>
  <c r="H113" i="37" s="1"/>
  <c r="B123" i="11"/>
  <c r="F123" i="11"/>
  <c r="H123" i="11" s="1"/>
  <c r="I120" i="5"/>
  <c r="B116" i="28"/>
  <c r="F116" i="28"/>
  <c r="H116" i="28" s="1"/>
  <c r="B113" i="43"/>
  <c r="F113" i="43"/>
  <c r="H113" i="43" s="1"/>
  <c r="B116" i="29"/>
  <c r="F116" i="29"/>
  <c r="H116" i="29" s="1"/>
  <c r="B113" i="39"/>
  <c r="F113" i="39"/>
  <c r="H113" i="39" s="1"/>
  <c r="I120" i="3"/>
  <c r="B120" i="22"/>
  <c r="F120" i="22"/>
  <c r="H120" i="22" s="1"/>
  <c r="B116" i="31"/>
  <c r="F116" i="31"/>
  <c r="H116" i="31" s="1"/>
  <c r="B121" i="4"/>
  <c r="F121" i="4"/>
  <c r="H121" i="4" s="1"/>
  <c r="B118" i="24"/>
  <c r="F118" i="24"/>
  <c r="H118" i="24" s="1"/>
  <c r="B122" i="6"/>
  <c r="F122" i="6"/>
  <c r="H122" i="6" s="1"/>
  <c r="B120" i="25"/>
  <c r="F120" i="25"/>
  <c r="H120" i="25" s="1"/>
  <c r="B119" i="23"/>
  <c r="F119" i="23"/>
  <c r="H119" i="23" s="1"/>
  <c r="I120" i="4"/>
  <c r="B117" i="27"/>
  <c r="F117" i="27"/>
  <c r="H117" i="27" s="1"/>
  <c r="B124" i="10"/>
  <c r="F124" i="10"/>
  <c r="H124" i="10" s="1"/>
  <c r="B124" i="7"/>
  <c r="F124" i="7"/>
  <c r="H124" i="7" s="1"/>
  <c r="F115" i="47" l="1"/>
  <c r="B115" i="47"/>
  <c r="I114" i="47"/>
  <c r="H114" i="47"/>
  <c r="F115" i="44"/>
  <c r="H115" i="44" s="1"/>
  <c r="H116" i="46"/>
  <c r="E117" i="46"/>
  <c r="G116" i="46"/>
  <c r="I116" i="46" s="1"/>
  <c r="D117" i="46"/>
  <c r="B115" i="44"/>
  <c r="E115" i="42"/>
  <c r="D115" i="42"/>
  <c r="H114" i="42"/>
  <c r="D115" i="38"/>
  <c r="B115" i="38" s="1"/>
  <c r="E115" i="45"/>
  <c r="D115" i="45"/>
  <c r="G114" i="45"/>
  <c r="I114" i="45" s="1"/>
  <c r="J114" i="45" s="1"/>
  <c r="G115" i="44"/>
  <c r="I115" i="44" s="1"/>
  <c r="J115" i="44" s="1"/>
  <c r="D116" i="44"/>
  <c r="B116" i="44" s="1"/>
  <c r="H114" i="38"/>
  <c r="J114" i="44"/>
  <c r="E116" i="44"/>
  <c r="J113" i="41"/>
  <c r="G114" i="41"/>
  <c r="I114" i="41" s="1"/>
  <c r="D115" i="41"/>
  <c r="E115" i="38"/>
  <c r="J112" i="43"/>
  <c r="J120" i="5"/>
  <c r="J116" i="27"/>
  <c r="J117" i="24"/>
  <c r="J120" i="4"/>
  <c r="J119" i="25"/>
  <c r="J122" i="9"/>
  <c r="J115" i="29"/>
  <c r="G124" i="10"/>
  <c r="I124" i="10" s="1"/>
  <c r="D125" i="10"/>
  <c r="E125" i="10"/>
  <c r="J115" i="31"/>
  <c r="G120" i="25"/>
  <c r="I120" i="25" s="1"/>
  <c r="D121" i="25"/>
  <c r="E121" i="25"/>
  <c r="J112" i="39"/>
  <c r="J115" i="28"/>
  <c r="J122" i="11"/>
  <c r="J112" i="37"/>
  <c r="J120" i="3"/>
  <c r="J121" i="8"/>
  <c r="G113" i="43"/>
  <c r="I113" i="43" s="1"/>
  <c r="D114" i="43"/>
  <c r="E114" i="43"/>
  <c r="G116" i="28"/>
  <c r="I116" i="28" s="1"/>
  <c r="D117" i="28"/>
  <c r="E117" i="28"/>
  <c r="G123" i="11"/>
  <c r="I123" i="11" s="1"/>
  <c r="D124" i="11"/>
  <c r="E124" i="11"/>
  <c r="J114" i="30"/>
  <c r="G121" i="3"/>
  <c r="D122" i="3"/>
  <c r="E122" i="3"/>
  <c r="G122" i="8"/>
  <c r="I122" i="8" s="1"/>
  <c r="D123" i="8"/>
  <c r="E123" i="8"/>
  <c r="J118" i="23"/>
  <c r="G124" i="7"/>
  <c r="I124" i="7" s="1"/>
  <c r="D125" i="7"/>
  <c r="E125" i="7"/>
  <c r="G117" i="27"/>
  <c r="I117" i="27" s="1"/>
  <c r="D118" i="27"/>
  <c r="E118" i="27"/>
  <c r="G119" i="23"/>
  <c r="I119" i="23" s="1"/>
  <c r="D120" i="23"/>
  <c r="E120" i="23"/>
  <c r="J119" i="22"/>
  <c r="J121" i="6"/>
  <c r="G122" i="6"/>
  <c r="I122" i="6" s="1"/>
  <c r="D123" i="6"/>
  <c r="E123" i="6"/>
  <c r="G118" i="24"/>
  <c r="I118" i="24" s="1"/>
  <c r="D119" i="24"/>
  <c r="E119" i="24"/>
  <c r="G121" i="4"/>
  <c r="D122" i="4"/>
  <c r="E122" i="4"/>
  <c r="G116" i="31"/>
  <c r="I116" i="31" s="1"/>
  <c r="D117" i="31"/>
  <c r="E117" i="31"/>
  <c r="G120" i="22"/>
  <c r="I120" i="22" s="1"/>
  <c r="D121" i="22"/>
  <c r="E121" i="22"/>
  <c r="G113" i="39"/>
  <c r="I113" i="39" s="1"/>
  <c r="D114" i="39"/>
  <c r="E114" i="39"/>
  <c r="G116" i="29"/>
  <c r="I116" i="29" s="1"/>
  <c r="D117" i="29"/>
  <c r="E117" i="29"/>
  <c r="J111" i="40"/>
  <c r="G113" i="37"/>
  <c r="I113" i="37" s="1"/>
  <c r="D114" i="37"/>
  <c r="E114" i="37"/>
  <c r="G123" i="9"/>
  <c r="I123" i="9" s="1"/>
  <c r="D124" i="9"/>
  <c r="E124" i="9"/>
  <c r="J123" i="7"/>
  <c r="J123" i="10"/>
  <c r="G112" i="40"/>
  <c r="I112" i="40" s="1"/>
  <c r="D113" i="40"/>
  <c r="E113" i="40"/>
  <c r="G121" i="5"/>
  <c r="D122" i="5"/>
  <c r="E122" i="5"/>
  <c r="G115" i="30"/>
  <c r="I115" i="30" s="1"/>
  <c r="D116" i="30"/>
  <c r="E116" i="30"/>
  <c r="J116" i="46" l="1"/>
  <c r="J114" i="47"/>
  <c r="D116" i="47"/>
  <c r="G115" i="47"/>
  <c r="E116" i="47"/>
  <c r="B117" i="46"/>
  <c r="F117" i="46"/>
  <c r="H117" i="46" s="1"/>
  <c r="F115" i="42"/>
  <c r="H115" i="42" s="1"/>
  <c r="B115" i="42"/>
  <c r="F115" i="38"/>
  <c r="H115" i="38" s="1"/>
  <c r="B115" i="45"/>
  <c r="F115" i="45"/>
  <c r="H115" i="45" s="1"/>
  <c r="F116" i="44"/>
  <c r="G116" i="44" s="1"/>
  <c r="I116" i="44" s="1"/>
  <c r="J114" i="38"/>
  <c r="J114" i="42"/>
  <c r="E115" i="41"/>
  <c r="F115" i="41" s="1"/>
  <c r="H115" i="41" s="1"/>
  <c r="B115" i="41"/>
  <c r="B116" i="30"/>
  <c r="F116" i="30"/>
  <c r="H116" i="30" s="1"/>
  <c r="B122" i="5"/>
  <c r="F122" i="5"/>
  <c r="H122" i="5" s="1"/>
  <c r="B124" i="9"/>
  <c r="F124" i="9"/>
  <c r="H124" i="9" s="1"/>
  <c r="B117" i="31"/>
  <c r="F117" i="31"/>
  <c r="H117" i="31" s="1"/>
  <c r="I121" i="4"/>
  <c r="B125" i="7"/>
  <c r="F125" i="7"/>
  <c r="H125" i="7" s="1"/>
  <c r="B123" i="8"/>
  <c r="F123" i="8"/>
  <c r="H123" i="8" s="1"/>
  <c r="I121" i="3"/>
  <c r="I121" i="5"/>
  <c r="B121" i="22"/>
  <c r="F121" i="22"/>
  <c r="H121" i="22" s="1"/>
  <c r="B123" i="6"/>
  <c r="F123" i="6"/>
  <c r="H123" i="6" s="1"/>
  <c r="B118" i="27"/>
  <c r="F118" i="27"/>
  <c r="H118" i="27" s="1"/>
  <c r="B114" i="43"/>
  <c r="F114" i="43"/>
  <c r="H114" i="43" s="1"/>
  <c r="B114" i="39"/>
  <c r="F114" i="39"/>
  <c r="H114" i="39" s="1"/>
  <c r="B119" i="24"/>
  <c r="F119" i="24"/>
  <c r="H119" i="24" s="1"/>
  <c r="B120" i="23"/>
  <c r="F120" i="23"/>
  <c r="H120" i="23" s="1"/>
  <c r="B117" i="28"/>
  <c r="F117" i="28"/>
  <c r="H117" i="28" s="1"/>
  <c r="B121" i="25"/>
  <c r="F121" i="25"/>
  <c r="H121" i="25" s="1"/>
  <c r="B125" i="10"/>
  <c r="F125" i="10"/>
  <c r="H125" i="10" s="1"/>
  <c r="B113" i="40"/>
  <c r="F113" i="40"/>
  <c r="H113" i="40" s="1"/>
  <c r="B114" i="37"/>
  <c r="F114" i="37"/>
  <c r="H114" i="37" s="1"/>
  <c r="B117" i="29"/>
  <c r="F117" i="29"/>
  <c r="H117" i="29" s="1"/>
  <c r="B122" i="4"/>
  <c r="F122" i="4"/>
  <c r="H122" i="4" s="1"/>
  <c r="B122" i="3"/>
  <c r="F122" i="3"/>
  <c r="H122" i="3" s="1"/>
  <c r="B124" i="11"/>
  <c r="F124" i="11"/>
  <c r="H124" i="11" s="1"/>
  <c r="D116" i="42" l="1"/>
  <c r="G115" i="42"/>
  <c r="I115" i="42" s="1"/>
  <c r="D116" i="38"/>
  <c r="B116" i="38" s="1"/>
  <c r="I115" i="47"/>
  <c r="H115" i="47"/>
  <c r="F116" i="47"/>
  <c r="B116" i="47"/>
  <c r="E116" i="42"/>
  <c r="E118" i="46"/>
  <c r="D118" i="46"/>
  <c r="G117" i="46"/>
  <c r="I117" i="46" s="1"/>
  <c r="J117" i="46" s="1"/>
  <c r="G115" i="38"/>
  <c r="I115" i="38" s="1"/>
  <c r="D117" i="44"/>
  <c r="B117" i="44" s="1"/>
  <c r="H116" i="44"/>
  <c r="J116" i="44" s="1"/>
  <c r="G115" i="45"/>
  <c r="I115" i="45" s="1"/>
  <c r="J115" i="45" s="1"/>
  <c r="D116" i="45"/>
  <c r="E116" i="45"/>
  <c r="B116" i="42"/>
  <c r="E117" i="44"/>
  <c r="D116" i="41"/>
  <c r="G115" i="41"/>
  <c r="I115" i="41" s="1"/>
  <c r="E116" i="41"/>
  <c r="J114" i="41"/>
  <c r="F116" i="42"/>
  <c r="H116" i="42" s="1"/>
  <c r="E116" i="38"/>
  <c r="J123" i="9"/>
  <c r="J124" i="10"/>
  <c r="J116" i="28"/>
  <c r="J118" i="24"/>
  <c r="J113" i="43"/>
  <c r="G122" i="3"/>
  <c r="D123" i="3"/>
  <c r="E123" i="3"/>
  <c r="J113" i="39"/>
  <c r="G114" i="37"/>
  <c r="I114" i="37" s="1"/>
  <c r="D115" i="37"/>
  <c r="E115" i="37"/>
  <c r="G125" i="10"/>
  <c r="I125" i="10" s="1"/>
  <c r="D126" i="10"/>
  <c r="E126" i="10"/>
  <c r="J117" i="27"/>
  <c r="J122" i="6"/>
  <c r="J120" i="22"/>
  <c r="J115" i="30"/>
  <c r="J122" i="8"/>
  <c r="G118" i="27"/>
  <c r="I118" i="27" s="1"/>
  <c r="D119" i="27"/>
  <c r="E119" i="27"/>
  <c r="J116" i="31"/>
  <c r="J123" i="11"/>
  <c r="G123" i="8"/>
  <c r="I123" i="8" s="1"/>
  <c r="D124" i="8"/>
  <c r="E124" i="8"/>
  <c r="J121" i="4"/>
  <c r="J116" i="29"/>
  <c r="G124" i="9"/>
  <c r="I124" i="9" s="1"/>
  <c r="D125" i="9"/>
  <c r="E125" i="9"/>
  <c r="G122" i="5"/>
  <c r="D123" i="5"/>
  <c r="E123" i="5"/>
  <c r="J120" i="25"/>
  <c r="G124" i="11"/>
  <c r="I124" i="11" s="1"/>
  <c r="D125" i="11"/>
  <c r="E125" i="11"/>
  <c r="J119" i="23"/>
  <c r="G122" i="4"/>
  <c r="D123" i="4"/>
  <c r="E123" i="4"/>
  <c r="G117" i="29"/>
  <c r="I117" i="29" s="1"/>
  <c r="D118" i="29"/>
  <c r="E118" i="29"/>
  <c r="G113" i="40"/>
  <c r="I113" i="40" s="1"/>
  <c r="D114" i="40"/>
  <c r="E114" i="40"/>
  <c r="G121" i="25"/>
  <c r="I121" i="25" s="1"/>
  <c r="D122" i="25"/>
  <c r="E122" i="25"/>
  <c r="G117" i="28"/>
  <c r="I117" i="28" s="1"/>
  <c r="D118" i="28"/>
  <c r="E118" i="28"/>
  <c r="G120" i="23"/>
  <c r="I120" i="23" s="1"/>
  <c r="D121" i="23"/>
  <c r="E121" i="23"/>
  <c r="G119" i="24"/>
  <c r="I119" i="24" s="1"/>
  <c r="D120" i="24"/>
  <c r="E120" i="24"/>
  <c r="G114" i="39"/>
  <c r="I114" i="39" s="1"/>
  <c r="D115" i="39"/>
  <c r="E115" i="39"/>
  <c r="G114" i="43"/>
  <c r="I114" i="43" s="1"/>
  <c r="D115" i="43"/>
  <c r="E115" i="43"/>
  <c r="J124" i="7"/>
  <c r="G123" i="6"/>
  <c r="I123" i="6" s="1"/>
  <c r="D124" i="6"/>
  <c r="E124" i="6"/>
  <c r="G121" i="22"/>
  <c r="I121" i="22" s="1"/>
  <c r="D122" i="22"/>
  <c r="E122" i="22"/>
  <c r="J121" i="5"/>
  <c r="J121" i="3"/>
  <c r="G125" i="7"/>
  <c r="I125" i="7" s="1"/>
  <c r="D126" i="7"/>
  <c r="E126" i="7"/>
  <c r="G117" i="31"/>
  <c r="I117" i="31" s="1"/>
  <c r="D118" i="31"/>
  <c r="E118" i="31"/>
  <c r="J113" i="37"/>
  <c r="J112" i="40"/>
  <c r="G116" i="30"/>
  <c r="I116" i="30" s="1"/>
  <c r="D117" i="30"/>
  <c r="E117" i="30"/>
  <c r="F116" i="38" l="1"/>
  <c r="H116" i="38" s="1"/>
  <c r="D117" i="47"/>
  <c r="G116" i="47"/>
  <c r="E117" i="47"/>
  <c r="J115" i="47"/>
  <c r="B118" i="46"/>
  <c r="F118" i="46"/>
  <c r="H118" i="46"/>
  <c r="F117" i="44"/>
  <c r="H117" i="44" s="1"/>
  <c r="F116" i="45"/>
  <c r="H116" i="45" s="1"/>
  <c r="B116" i="45"/>
  <c r="B116" i="41"/>
  <c r="F116" i="41"/>
  <c r="G116" i="41" s="1"/>
  <c r="I116" i="41" s="1"/>
  <c r="D117" i="38"/>
  <c r="G116" i="38"/>
  <c r="I116" i="38" s="1"/>
  <c r="J115" i="38"/>
  <c r="G116" i="42"/>
  <c r="I116" i="42" s="1"/>
  <c r="D117" i="42"/>
  <c r="J115" i="42"/>
  <c r="B126" i="7"/>
  <c r="F126" i="7"/>
  <c r="H126" i="7" s="1"/>
  <c r="B115" i="43"/>
  <c r="F115" i="43"/>
  <c r="H115" i="43" s="1"/>
  <c r="B122" i="22"/>
  <c r="F122" i="22"/>
  <c r="H122" i="22" s="1"/>
  <c r="B120" i="24"/>
  <c r="F120" i="24"/>
  <c r="H120" i="24" s="1"/>
  <c r="B114" i="40"/>
  <c r="F114" i="40"/>
  <c r="H114" i="40" s="1"/>
  <c r="B115" i="39"/>
  <c r="F115" i="39"/>
  <c r="H115" i="39" s="1"/>
  <c r="B122" i="25"/>
  <c r="F122" i="25"/>
  <c r="H122" i="25" s="1"/>
  <c r="B125" i="9"/>
  <c r="F125" i="9"/>
  <c r="H125" i="9" s="1"/>
  <c r="B117" i="30"/>
  <c r="F117" i="30"/>
  <c r="H117" i="30" s="1"/>
  <c r="B124" i="6"/>
  <c r="F124" i="6"/>
  <c r="H124" i="6" s="1"/>
  <c r="B118" i="28"/>
  <c r="F118" i="28"/>
  <c r="H118" i="28" s="1"/>
  <c r="B123" i="4"/>
  <c r="F123" i="4"/>
  <c r="H123" i="4" s="1"/>
  <c r="B125" i="11"/>
  <c r="F125" i="11"/>
  <c r="H125" i="11" s="1"/>
  <c r="B123" i="5"/>
  <c r="F123" i="5"/>
  <c r="H123" i="5" s="1"/>
  <c r="B124" i="8"/>
  <c r="F124" i="8"/>
  <c r="H124" i="8" s="1"/>
  <c r="B115" i="37"/>
  <c r="F115" i="37"/>
  <c r="H115" i="37" s="1"/>
  <c r="B123" i="3"/>
  <c r="F123" i="3"/>
  <c r="H123" i="3" s="1"/>
  <c r="B118" i="31"/>
  <c r="F118" i="31"/>
  <c r="H118" i="31" s="1"/>
  <c r="B121" i="23"/>
  <c r="F121" i="23"/>
  <c r="H121" i="23" s="1"/>
  <c r="B118" i="29"/>
  <c r="F118" i="29"/>
  <c r="H118" i="29" s="1"/>
  <c r="I122" i="4"/>
  <c r="I122" i="5"/>
  <c r="B119" i="27"/>
  <c r="F119" i="27"/>
  <c r="H119" i="27" s="1"/>
  <c r="B126" i="10"/>
  <c r="F126" i="10"/>
  <c r="H126" i="10" s="1"/>
  <c r="I122" i="3"/>
  <c r="H116" i="47" l="1"/>
  <c r="I116" i="47"/>
  <c r="J116" i="47" s="1"/>
  <c r="F117" i="47"/>
  <c r="B117" i="47"/>
  <c r="D119" i="46"/>
  <c r="E119" i="46"/>
  <c r="G118" i="46"/>
  <c r="I118" i="46" s="1"/>
  <c r="J118" i="46" s="1"/>
  <c r="D118" i="44"/>
  <c r="B118" i="44" s="1"/>
  <c r="G117" i="44"/>
  <c r="I117" i="44" s="1"/>
  <c r="E118" i="44"/>
  <c r="G116" i="45"/>
  <c r="I116" i="45" s="1"/>
  <c r="J116" i="45" s="1"/>
  <c r="E117" i="45"/>
  <c r="D117" i="45"/>
  <c r="H116" i="41"/>
  <c r="D117" i="41"/>
  <c r="J115" i="41"/>
  <c r="E117" i="42"/>
  <c r="F117" i="42" s="1"/>
  <c r="H117" i="42" s="1"/>
  <c r="B117" i="42"/>
  <c r="E117" i="41"/>
  <c r="E117" i="38"/>
  <c r="F117" i="38" s="1"/>
  <c r="H117" i="38" s="1"/>
  <c r="B117" i="38"/>
  <c r="J121" i="22"/>
  <c r="J118" i="27"/>
  <c r="J125" i="7"/>
  <c r="J114" i="37"/>
  <c r="J122" i="5"/>
  <c r="J122" i="4"/>
  <c r="J117" i="28"/>
  <c r="J124" i="9"/>
  <c r="J114" i="39"/>
  <c r="J113" i="40"/>
  <c r="J119" i="24"/>
  <c r="J117" i="29"/>
  <c r="J120" i="23"/>
  <c r="J122" i="3"/>
  <c r="G126" i="10"/>
  <c r="I126" i="10" s="1"/>
  <c r="D127" i="10"/>
  <c r="E127" i="10"/>
  <c r="J123" i="8"/>
  <c r="J124" i="11"/>
  <c r="G118" i="29"/>
  <c r="I118" i="29" s="1"/>
  <c r="D119" i="29"/>
  <c r="E119" i="29"/>
  <c r="G121" i="23"/>
  <c r="I121" i="23" s="1"/>
  <c r="D122" i="23"/>
  <c r="E122" i="23"/>
  <c r="G123" i="3"/>
  <c r="D124" i="3"/>
  <c r="E124" i="3"/>
  <c r="G124" i="8"/>
  <c r="I124" i="8" s="1"/>
  <c r="D125" i="8"/>
  <c r="E125" i="8"/>
  <c r="G123" i="5"/>
  <c r="D124" i="5"/>
  <c r="E124" i="5"/>
  <c r="G123" i="4"/>
  <c r="D124" i="4"/>
  <c r="E124" i="4"/>
  <c r="G118" i="28"/>
  <c r="I118" i="28" s="1"/>
  <c r="D119" i="28"/>
  <c r="E119" i="28"/>
  <c r="G124" i="6"/>
  <c r="I124" i="6" s="1"/>
  <c r="D125" i="6"/>
  <c r="E125" i="6"/>
  <c r="G125" i="9"/>
  <c r="I125" i="9" s="1"/>
  <c r="D126" i="9"/>
  <c r="E126" i="9"/>
  <c r="G122" i="25"/>
  <c r="I122" i="25" s="1"/>
  <c r="D123" i="25"/>
  <c r="E123" i="25"/>
  <c r="G115" i="39"/>
  <c r="I115" i="39" s="1"/>
  <c r="D116" i="39"/>
  <c r="E116" i="39"/>
  <c r="G114" i="40"/>
  <c r="I114" i="40" s="1"/>
  <c r="D115" i="40"/>
  <c r="E115" i="40"/>
  <c r="G120" i="24"/>
  <c r="I120" i="24" s="1"/>
  <c r="D121" i="24"/>
  <c r="E121" i="24"/>
  <c r="J117" i="31"/>
  <c r="G122" i="22"/>
  <c r="I122" i="22" s="1"/>
  <c r="D123" i="22"/>
  <c r="E123" i="22"/>
  <c r="G115" i="43"/>
  <c r="I115" i="43" s="1"/>
  <c r="D116" i="43"/>
  <c r="E116" i="43"/>
  <c r="G119" i="27"/>
  <c r="I119" i="27" s="1"/>
  <c r="D120" i="27"/>
  <c r="E120" i="27"/>
  <c r="G118" i="31"/>
  <c r="I118" i="31" s="1"/>
  <c r="D119" i="31"/>
  <c r="E119" i="31"/>
  <c r="G115" i="37"/>
  <c r="I115" i="37" s="1"/>
  <c r="D116" i="37"/>
  <c r="E116" i="37"/>
  <c r="G125" i="11"/>
  <c r="I125" i="11" s="1"/>
  <c r="D126" i="11"/>
  <c r="E126" i="11"/>
  <c r="G117" i="30"/>
  <c r="I117" i="30" s="1"/>
  <c r="D118" i="30"/>
  <c r="E118" i="30"/>
  <c r="J114" i="43"/>
  <c r="J116" i="30"/>
  <c r="G126" i="7"/>
  <c r="I126" i="7" s="1"/>
  <c r="D127" i="7"/>
  <c r="E127" i="7"/>
  <c r="J123" i="6"/>
  <c r="J121" i="25"/>
  <c r="J125" i="10"/>
  <c r="G117" i="47" l="1"/>
  <c r="D118" i="47"/>
  <c r="E118" i="47"/>
  <c r="F118" i="44"/>
  <c r="G118" i="44" s="1"/>
  <c r="I118" i="44" s="1"/>
  <c r="B119" i="46"/>
  <c r="F119" i="46"/>
  <c r="H119" i="46" s="1"/>
  <c r="B117" i="45"/>
  <c r="F117" i="45"/>
  <c r="B117" i="41"/>
  <c r="J116" i="42"/>
  <c r="F117" i="41"/>
  <c r="D118" i="41" s="1"/>
  <c r="J116" i="38"/>
  <c r="J117" i="44"/>
  <c r="G117" i="42"/>
  <c r="I117" i="42" s="1"/>
  <c r="D118" i="42"/>
  <c r="D118" i="38"/>
  <c r="G117" i="38"/>
  <c r="I117" i="38" s="1"/>
  <c r="E118" i="38"/>
  <c r="J116" i="41"/>
  <c r="B116" i="37"/>
  <c r="F116" i="37"/>
  <c r="H116" i="37" s="1"/>
  <c r="B123" i="22"/>
  <c r="F123" i="22"/>
  <c r="H123" i="22" s="1"/>
  <c r="B121" i="24"/>
  <c r="F121" i="24"/>
  <c r="H121" i="24" s="1"/>
  <c r="B126" i="9"/>
  <c r="F126" i="9"/>
  <c r="H126" i="9" s="1"/>
  <c r="B124" i="5"/>
  <c r="F124" i="5"/>
  <c r="H124" i="5" s="1"/>
  <c r="B119" i="29"/>
  <c r="F119" i="29"/>
  <c r="H119" i="29" s="1"/>
  <c r="B127" i="7"/>
  <c r="F127" i="7"/>
  <c r="H127" i="7" s="1"/>
  <c r="B126" i="11"/>
  <c r="F126" i="11"/>
  <c r="H126" i="11" s="1"/>
  <c r="B116" i="43"/>
  <c r="F116" i="43"/>
  <c r="H116" i="43" s="1"/>
  <c r="B123" i="25"/>
  <c r="F123" i="25"/>
  <c r="H123" i="25" s="1"/>
  <c r="B124" i="4"/>
  <c r="F124" i="4"/>
  <c r="H124" i="4" s="1"/>
  <c r="I123" i="5"/>
  <c r="B122" i="23"/>
  <c r="F122" i="23"/>
  <c r="H122" i="23" s="1"/>
  <c r="B127" i="10"/>
  <c r="F127" i="10"/>
  <c r="H127" i="10" s="1"/>
  <c r="B118" i="30"/>
  <c r="F118" i="30"/>
  <c r="H118" i="30" s="1"/>
  <c r="B120" i="27"/>
  <c r="F120" i="27"/>
  <c r="H120" i="27" s="1"/>
  <c r="B116" i="39"/>
  <c r="F116" i="39"/>
  <c r="H116" i="39" s="1"/>
  <c r="B119" i="28"/>
  <c r="F119" i="28"/>
  <c r="H119" i="28" s="1"/>
  <c r="I123" i="4"/>
  <c r="B124" i="3"/>
  <c r="F124" i="3"/>
  <c r="H124" i="3" s="1"/>
  <c r="B119" i="31"/>
  <c r="F119" i="31"/>
  <c r="H119" i="31" s="1"/>
  <c r="B115" i="40"/>
  <c r="F115" i="40"/>
  <c r="H115" i="40" s="1"/>
  <c r="B125" i="6"/>
  <c r="F125" i="6"/>
  <c r="H125" i="6" s="1"/>
  <c r="B125" i="8"/>
  <c r="F125" i="8"/>
  <c r="H125" i="8" s="1"/>
  <c r="I123" i="3"/>
  <c r="E119" i="44" l="1"/>
  <c r="D119" i="44"/>
  <c r="B119" i="44" s="1"/>
  <c r="B118" i="47"/>
  <c r="F118" i="47"/>
  <c r="I117" i="47"/>
  <c r="H117" i="47"/>
  <c r="H118" i="44"/>
  <c r="J118" i="44" s="1"/>
  <c r="E120" i="46"/>
  <c r="D120" i="46"/>
  <c r="G119" i="46"/>
  <c r="I119" i="46" s="1"/>
  <c r="J119" i="46" s="1"/>
  <c r="H117" i="45"/>
  <c r="G117" i="45"/>
  <c r="I117" i="45" s="1"/>
  <c r="J117" i="45" s="1"/>
  <c r="E118" i="45"/>
  <c r="D118" i="45"/>
  <c r="B118" i="41"/>
  <c r="H117" i="41"/>
  <c r="B118" i="38"/>
  <c r="G117" i="41"/>
  <c r="I117" i="41" s="1"/>
  <c r="F119" i="44"/>
  <c r="D120" i="44" s="1"/>
  <c r="E118" i="41"/>
  <c r="F118" i="41" s="1"/>
  <c r="H118" i="41" s="1"/>
  <c r="F118" i="38"/>
  <c r="E119" i="38" s="1"/>
  <c r="E118" i="42"/>
  <c r="F118" i="42" s="1"/>
  <c r="H118" i="42" s="1"/>
  <c r="B118" i="42"/>
  <c r="J118" i="31"/>
  <c r="J124" i="6"/>
  <c r="J119" i="27"/>
  <c r="J126" i="7"/>
  <c r="J121" i="23"/>
  <c r="J123" i="4"/>
  <c r="J122" i="22"/>
  <c r="J115" i="37"/>
  <c r="J123" i="3"/>
  <c r="J118" i="28"/>
  <c r="J115" i="39"/>
  <c r="J117" i="30"/>
  <c r="J126" i="10"/>
  <c r="G124" i="3"/>
  <c r="D125" i="3"/>
  <c r="E125" i="3"/>
  <c r="G119" i="28"/>
  <c r="I119" i="28" s="1"/>
  <c r="D120" i="28"/>
  <c r="E120" i="28"/>
  <c r="G116" i="39"/>
  <c r="I116" i="39" s="1"/>
  <c r="D117" i="39"/>
  <c r="E117" i="39"/>
  <c r="G120" i="27"/>
  <c r="I120" i="27" s="1"/>
  <c r="D121" i="27"/>
  <c r="E121" i="27"/>
  <c r="G118" i="30"/>
  <c r="I118" i="30" s="1"/>
  <c r="D119" i="30"/>
  <c r="E119" i="30"/>
  <c r="J118" i="29"/>
  <c r="J123" i="5"/>
  <c r="J125" i="9"/>
  <c r="J120" i="24"/>
  <c r="G116" i="43"/>
  <c r="I116" i="43" s="1"/>
  <c r="D117" i="43"/>
  <c r="E117" i="43"/>
  <c r="G126" i="11"/>
  <c r="I126" i="11" s="1"/>
  <c r="D127" i="11"/>
  <c r="E127" i="11"/>
  <c r="G119" i="29"/>
  <c r="I119" i="29" s="1"/>
  <c r="D120" i="29"/>
  <c r="E120" i="29"/>
  <c r="G124" i="5"/>
  <c r="D125" i="5"/>
  <c r="E125" i="5"/>
  <c r="G126" i="9"/>
  <c r="I126" i="9" s="1"/>
  <c r="D127" i="9"/>
  <c r="E127" i="9"/>
  <c r="G121" i="24"/>
  <c r="I121" i="24" s="1"/>
  <c r="D122" i="24"/>
  <c r="E122" i="24"/>
  <c r="G125" i="8"/>
  <c r="I125" i="8" s="1"/>
  <c r="D126" i="8"/>
  <c r="G125" i="6"/>
  <c r="I125" i="6" s="1"/>
  <c r="D126" i="6"/>
  <c r="E126" i="6"/>
  <c r="G115" i="40"/>
  <c r="I115" i="40" s="1"/>
  <c r="D116" i="40"/>
  <c r="E116" i="40"/>
  <c r="G119" i="31"/>
  <c r="I119" i="31" s="1"/>
  <c r="D120" i="31"/>
  <c r="E120" i="31"/>
  <c r="J122" i="25"/>
  <c r="J115" i="43"/>
  <c r="J125" i="11"/>
  <c r="G127" i="10"/>
  <c r="I127" i="10" s="1"/>
  <c r="D128" i="10"/>
  <c r="E128" i="10"/>
  <c r="G122" i="23"/>
  <c r="I122" i="23" s="1"/>
  <c r="D123" i="23"/>
  <c r="E123" i="23"/>
  <c r="G124" i="4"/>
  <c r="D125" i="4"/>
  <c r="E125" i="4"/>
  <c r="G123" i="25"/>
  <c r="I123" i="25" s="1"/>
  <c r="D124" i="25"/>
  <c r="E124" i="25"/>
  <c r="G127" i="7"/>
  <c r="I127" i="7" s="1"/>
  <c r="D128" i="7"/>
  <c r="E128" i="7"/>
  <c r="J114" i="40"/>
  <c r="G123" i="22"/>
  <c r="I123" i="22" s="1"/>
  <c r="D124" i="22"/>
  <c r="E124" i="22"/>
  <c r="G116" i="37"/>
  <c r="I116" i="37" s="1"/>
  <c r="D117" i="37"/>
  <c r="E117" i="37"/>
  <c r="J124" i="8"/>
  <c r="J117" i="47" l="1"/>
  <c r="G118" i="47"/>
  <c r="D119" i="47"/>
  <c r="E119" i="47"/>
  <c r="B120" i="46"/>
  <c r="F120" i="46"/>
  <c r="B118" i="45"/>
  <c r="F118" i="45"/>
  <c r="E126" i="8"/>
  <c r="F126" i="8" s="1"/>
  <c r="H126" i="8" s="1"/>
  <c r="B120" i="44"/>
  <c r="H119" i="44"/>
  <c r="H118" i="38"/>
  <c r="E120" i="44"/>
  <c r="F120" i="44" s="1"/>
  <c r="D121" i="44" s="1"/>
  <c r="D119" i="38"/>
  <c r="F119" i="38" s="1"/>
  <c r="G119" i="38" s="1"/>
  <c r="I119" i="38" s="1"/>
  <c r="G119" i="44"/>
  <c r="I119" i="44" s="1"/>
  <c r="G118" i="38"/>
  <c r="I118" i="38" s="1"/>
  <c r="G118" i="42"/>
  <c r="I118" i="42" s="1"/>
  <c r="D119" i="42"/>
  <c r="E119" i="42"/>
  <c r="D119" i="41"/>
  <c r="G118" i="41"/>
  <c r="I118" i="41" s="1"/>
  <c r="J117" i="41"/>
  <c r="J117" i="42"/>
  <c r="J117" i="38"/>
  <c r="B124" i="25"/>
  <c r="F124" i="25"/>
  <c r="H124" i="25" s="1"/>
  <c r="I124" i="4"/>
  <c r="B126" i="8"/>
  <c r="B120" i="29"/>
  <c r="F120" i="29"/>
  <c r="H120" i="29" s="1"/>
  <c r="B121" i="27"/>
  <c r="F121" i="27"/>
  <c r="H121" i="27" s="1"/>
  <c r="B128" i="7"/>
  <c r="F128" i="7"/>
  <c r="H128" i="7" s="1"/>
  <c r="B128" i="10"/>
  <c r="F128" i="10"/>
  <c r="H128" i="10" s="1"/>
  <c r="B126" i="6"/>
  <c r="F126" i="6"/>
  <c r="H126" i="6" s="1"/>
  <c r="B125" i="5"/>
  <c r="F125" i="5"/>
  <c r="H125" i="5" s="1"/>
  <c r="B119" i="30"/>
  <c r="F119" i="30"/>
  <c r="H119" i="30" s="1"/>
  <c r="B125" i="3"/>
  <c r="F125" i="3"/>
  <c r="H125" i="3" s="1"/>
  <c r="B124" i="22"/>
  <c r="F124" i="22"/>
  <c r="H124" i="22" s="1"/>
  <c r="B117" i="37"/>
  <c r="F117" i="37"/>
  <c r="H117" i="37" s="1"/>
  <c r="B123" i="23"/>
  <c r="F123" i="23"/>
  <c r="H123" i="23" s="1"/>
  <c r="B116" i="40"/>
  <c r="F116" i="40"/>
  <c r="H116" i="40" s="1"/>
  <c r="B127" i="9"/>
  <c r="F127" i="9"/>
  <c r="H127" i="9" s="1"/>
  <c r="I124" i="5"/>
  <c r="B117" i="43"/>
  <c r="F117" i="43"/>
  <c r="H117" i="43" s="1"/>
  <c r="B120" i="28"/>
  <c r="F120" i="28"/>
  <c r="H120" i="28" s="1"/>
  <c r="I124" i="3"/>
  <c r="B125" i="4"/>
  <c r="F125" i="4"/>
  <c r="H125" i="4" s="1"/>
  <c r="B120" i="31"/>
  <c r="F120" i="31"/>
  <c r="H120" i="31" s="1"/>
  <c r="B122" i="24"/>
  <c r="F122" i="24"/>
  <c r="H122" i="24" s="1"/>
  <c r="B127" i="11"/>
  <c r="F127" i="11"/>
  <c r="H127" i="11" s="1"/>
  <c r="B117" i="39"/>
  <c r="F117" i="39"/>
  <c r="H117" i="39" s="1"/>
  <c r="B119" i="47" l="1"/>
  <c r="F119" i="47"/>
  <c r="H118" i="47"/>
  <c r="I118" i="47"/>
  <c r="J118" i="47" s="1"/>
  <c r="H120" i="46"/>
  <c r="D121" i="46"/>
  <c r="G120" i="46"/>
  <c r="I120" i="46" s="1"/>
  <c r="E121" i="46"/>
  <c r="H118" i="45"/>
  <c r="G118" i="45"/>
  <c r="I118" i="45" s="1"/>
  <c r="D119" i="45"/>
  <c r="E119" i="45"/>
  <c r="B119" i="42"/>
  <c r="H120" i="44"/>
  <c r="B121" i="44"/>
  <c r="B119" i="38"/>
  <c r="H119" i="38"/>
  <c r="D120" i="38"/>
  <c r="E121" i="44"/>
  <c r="F121" i="44" s="1"/>
  <c r="G121" i="44" s="1"/>
  <c r="I121" i="44" s="1"/>
  <c r="G120" i="44"/>
  <c r="I120" i="44" s="1"/>
  <c r="F119" i="42"/>
  <c r="G119" i="42" s="1"/>
  <c r="I119" i="42" s="1"/>
  <c r="J119" i="44"/>
  <c r="J118" i="38"/>
  <c r="E120" i="38"/>
  <c r="E119" i="41"/>
  <c r="F119" i="41" s="1"/>
  <c r="H119" i="41" s="1"/>
  <c r="B119" i="41"/>
  <c r="J119" i="28"/>
  <c r="J120" i="27"/>
  <c r="J115" i="40"/>
  <c r="J118" i="30"/>
  <c r="J124" i="5"/>
  <c r="J125" i="6"/>
  <c r="J124" i="4"/>
  <c r="J116" i="37"/>
  <c r="J116" i="43"/>
  <c r="J126" i="9"/>
  <c r="J122" i="23"/>
  <c r="J124" i="3"/>
  <c r="J127" i="10"/>
  <c r="J127" i="7"/>
  <c r="G117" i="37"/>
  <c r="I117" i="37" s="1"/>
  <c r="D118" i="37"/>
  <c r="E118" i="37"/>
  <c r="G124" i="22"/>
  <c r="I124" i="22" s="1"/>
  <c r="D125" i="22"/>
  <c r="J119" i="29"/>
  <c r="J125" i="8"/>
  <c r="G128" i="10"/>
  <c r="I128" i="10" s="1"/>
  <c r="D129" i="10"/>
  <c r="J116" i="39"/>
  <c r="J126" i="11"/>
  <c r="J121" i="24"/>
  <c r="J119" i="31"/>
  <c r="G124" i="25"/>
  <c r="I124" i="25" s="1"/>
  <c r="D125" i="25"/>
  <c r="E125" i="25"/>
  <c r="G117" i="39"/>
  <c r="I117" i="39" s="1"/>
  <c r="D118" i="39"/>
  <c r="E118" i="39"/>
  <c r="D128" i="11"/>
  <c r="G127" i="11"/>
  <c r="I127" i="11" s="1"/>
  <c r="G122" i="24"/>
  <c r="I122" i="24" s="1"/>
  <c r="D123" i="24"/>
  <c r="E123" i="24"/>
  <c r="G120" i="31"/>
  <c r="I120" i="31" s="1"/>
  <c r="D121" i="31"/>
  <c r="E121" i="31"/>
  <c r="G125" i="4"/>
  <c r="D126" i="4"/>
  <c r="E126" i="4"/>
  <c r="G120" i="28"/>
  <c r="I120" i="28" s="1"/>
  <c r="D121" i="28"/>
  <c r="E121" i="28"/>
  <c r="G117" i="43"/>
  <c r="I117" i="43" s="1"/>
  <c r="D118" i="43"/>
  <c r="E118" i="43"/>
  <c r="G127" i="9"/>
  <c r="I127" i="9" s="1"/>
  <c r="D128" i="9"/>
  <c r="G116" i="40"/>
  <c r="I116" i="40" s="1"/>
  <c r="D117" i="40"/>
  <c r="E117" i="40"/>
  <c r="G123" i="23"/>
  <c r="I123" i="23" s="1"/>
  <c r="D124" i="23"/>
  <c r="E124" i="23"/>
  <c r="J123" i="22"/>
  <c r="J123" i="25"/>
  <c r="G125" i="3"/>
  <c r="D126" i="3"/>
  <c r="E126" i="3"/>
  <c r="G119" i="30"/>
  <c r="I119" i="30" s="1"/>
  <c r="D120" i="30"/>
  <c r="E120" i="30"/>
  <c r="G125" i="5"/>
  <c r="D126" i="5"/>
  <c r="G126" i="6"/>
  <c r="I126" i="6" s="1"/>
  <c r="D127" i="6"/>
  <c r="G128" i="7"/>
  <c r="I128" i="7" s="1"/>
  <c r="D129" i="7"/>
  <c r="G121" i="27"/>
  <c r="I121" i="27" s="1"/>
  <c r="D122" i="27"/>
  <c r="E122" i="27"/>
  <c r="G120" i="29"/>
  <c r="I120" i="29" s="1"/>
  <c r="D121" i="29"/>
  <c r="E121" i="29"/>
  <c r="G126" i="8"/>
  <c r="I126" i="8" s="1"/>
  <c r="D127" i="8"/>
  <c r="J120" i="46" l="1"/>
  <c r="G119" i="47"/>
  <c r="D120" i="47"/>
  <c r="E120" i="47"/>
  <c r="B121" i="46"/>
  <c r="F121" i="46"/>
  <c r="H121" i="46"/>
  <c r="J118" i="45"/>
  <c r="F119" i="45"/>
  <c r="H119" i="45" s="1"/>
  <c r="B119" i="45"/>
  <c r="E127" i="8"/>
  <c r="F127" i="8" s="1"/>
  <c r="H127" i="8" s="1"/>
  <c r="E129" i="7"/>
  <c r="F129" i="7" s="1"/>
  <c r="H129" i="7" s="1"/>
  <c r="E127" i="6"/>
  <c r="F127" i="6" s="1"/>
  <c r="H127" i="6" s="1"/>
  <c r="E128" i="11"/>
  <c r="F128" i="11" s="1"/>
  <c r="H128" i="11" s="1"/>
  <c r="E126" i="5"/>
  <c r="E128" i="9"/>
  <c r="F128" i="9" s="1"/>
  <c r="H128" i="9" s="1"/>
  <c r="E129" i="10"/>
  <c r="F129" i="10" s="1"/>
  <c r="H129" i="10" s="1"/>
  <c r="E125" i="22"/>
  <c r="F125" i="22" s="1"/>
  <c r="H125" i="22" s="1"/>
  <c r="H119" i="42"/>
  <c r="H121" i="44"/>
  <c r="B120" i="38"/>
  <c r="F120" i="38"/>
  <c r="G120" i="38" s="1"/>
  <c r="I120" i="38" s="1"/>
  <c r="J118" i="41"/>
  <c r="J119" i="38"/>
  <c r="D122" i="44"/>
  <c r="J120" i="44"/>
  <c r="D120" i="42"/>
  <c r="J118" i="42"/>
  <c r="D120" i="41"/>
  <c r="G119" i="41"/>
  <c r="I119" i="41" s="1"/>
  <c r="E120" i="42"/>
  <c r="B127" i="8"/>
  <c r="B129" i="7"/>
  <c r="B126" i="3"/>
  <c r="F126" i="3"/>
  <c r="H126" i="3" s="1"/>
  <c r="B117" i="40"/>
  <c r="F117" i="40"/>
  <c r="H117" i="40" s="1"/>
  <c r="B126" i="4"/>
  <c r="F126" i="4"/>
  <c r="H126" i="4" s="1"/>
  <c r="B118" i="39"/>
  <c r="F118" i="39"/>
  <c r="H118" i="39" s="1"/>
  <c r="B121" i="29"/>
  <c r="F121" i="29"/>
  <c r="H121" i="29" s="1"/>
  <c r="B122" i="27"/>
  <c r="F122" i="27"/>
  <c r="H122" i="27" s="1"/>
  <c r="B120" i="30"/>
  <c r="F120" i="30"/>
  <c r="H120" i="30" s="1"/>
  <c r="I125" i="3"/>
  <c r="B124" i="23"/>
  <c r="F124" i="23"/>
  <c r="H124" i="23" s="1"/>
  <c r="B121" i="28"/>
  <c r="F121" i="28"/>
  <c r="H121" i="28" s="1"/>
  <c r="I125" i="4"/>
  <c r="B126" i="5"/>
  <c r="F126" i="5"/>
  <c r="H126" i="5" s="1"/>
  <c r="B118" i="43"/>
  <c r="F118" i="43"/>
  <c r="H118" i="43" s="1"/>
  <c r="B123" i="24"/>
  <c r="F123" i="24"/>
  <c r="H123" i="24" s="1"/>
  <c r="B128" i="11"/>
  <c r="B129" i="10"/>
  <c r="B118" i="37"/>
  <c r="F118" i="37"/>
  <c r="H118" i="37" s="1"/>
  <c r="B127" i="6"/>
  <c r="I125" i="5"/>
  <c r="B128" i="9"/>
  <c r="B121" i="31"/>
  <c r="F121" i="31"/>
  <c r="H121" i="31" s="1"/>
  <c r="B125" i="25"/>
  <c r="F125" i="25"/>
  <c r="H125" i="25" s="1"/>
  <c r="B125" i="22"/>
  <c r="B120" i="47" l="1"/>
  <c r="F120" i="47"/>
  <c r="H119" i="47"/>
  <c r="I119" i="47"/>
  <c r="J119" i="47" s="1"/>
  <c r="E122" i="46"/>
  <c r="D122" i="46"/>
  <c r="G121" i="46"/>
  <c r="I121" i="46" s="1"/>
  <c r="J121" i="46" s="1"/>
  <c r="E121" i="38"/>
  <c r="D120" i="45"/>
  <c r="G119" i="45"/>
  <c r="I119" i="45" s="1"/>
  <c r="J119" i="45" s="1"/>
  <c r="E120" i="45"/>
  <c r="D121" i="38"/>
  <c r="B121" i="38" s="1"/>
  <c r="H120" i="38"/>
  <c r="B120" i="42"/>
  <c r="B122" i="44"/>
  <c r="E122" i="44"/>
  <c r="F122" i="44" s="1"/>
  <c r="F120" i="42"/>
  <c r="G120" i="42" s="1"/>
  <c r="I120" i="42" s="1"/>
  <c r="J121" i="44"/>
  <c r="J119" i="42"/>
  <c r="E120" i="41"/>
  <c r="F120" i="41" s="1"/>
  <c r="H120" i="41" s="1"/>
  <c r="B120" i="41"/>
  <c r="J125" i="4"/>
  <c r="J121" i="27"/>
  <c r="J124" i="22"/>
  <c r="J117" i="37"/>
  <c r="J128" i="10"/>
  <c r="J122" i="24"/>
  <c r="J117" i="43"/>
  <c r="J125" i="5"/>
  <c r="J120" i="29"/>
  <c r="G129" i="10"/>
  <c r="I129" i="10" s="1"/>
  <c r="D130" i="10"/>
  <c r="G123" i="24"/>
  <c r="I123" i="24" s="1"/>
  <c r="D124" i="24"/>
  <c r="G118" i="43"/>
  <c r="I118" i="43" s="1"/>
  <c r="D119" i="43"/>
  <c r="E119" i="43"/>
  <c r="J119" i="30"/>
  <c r="J127" i="11"/>
  <c r="G121" i="28"/>
  <c r="I121" i="28" s="1"/>
  <c r="D122" i="28"/>
  <c r="E122" i="28"/>
  <c r="G124" i="23"/>
  <c r="I124" i="23" s="1"/>
  <c r="D125" i="23"/>
  <c r="G120" i="30"/>
  <c r="I120" i="30" s="1"/>
  <c r="D121" i="30"/>
  <c r="E121" i="30"/>
  <c r="G122" i="27"/>
  <c r="I122" i="27" s="1"/>
  <c r="D123" i="27"/>
  <c r="G118" i="39"/>
  <c r="I118" i="39" s="1"/>
  <c r="D119" i="39"/>
  <c r="E119" i="39"/>
  <c r="G126" i="4"/>
  <c r="D127" i="4"/>
  <c r="G117" i="40"/>
  <c r="I117" i="40" s="1"/>
  <c r="D118" i="40"/>
  <c r="E118" i="40"/>
  <c r="J126" i="6"/>
  <c r="J126" i="8"/>
  <c r="G125" i="22"/>
  <c r="I125" i="22" s="1"/>
  <c r="D126" i="22"/>
  <c r="G125" i="25"/>
  <c r="I125" i="25" s="1"/>
  <c r="D126" i="25"/>
  <c r="E126" i="25"/>
  <c r="G121" i="31"/>
  <c r="I121" i="31" s="1"/>
  <c r="D122" i="31"/>
  <c r="E122" i="31"/>
  <c r="G128" i="9"/>
  <c r="I128" i="9" s="1"/>
  <c r="D129" i="9"/>
  <c r="G127" i="6"/>
  <c r="I127" i="6" s="1"/>
  <c r="D128" i="6"/>
  <c r="E128" i="6"/>
  <c r="G118" i="37"/>
  <c r="I118" i="37" s="1"/>
  <c r="D119" i="37"/>
  <c r="E119" i="37"/>
  <c r="G128" i="11"/>
  <c r="I128" i="11" s="1"/>
  <c r="D129" i="11"/>
  <c r="J120" i="28"/>
  <c r="J123" i="23"/>
  <c r="G126" i="5"/>
  <c r="D127" i="5"/>
  <c r="E127" i="5"/>
  <c r="J117" i="39"/>
  <c r="J116" i="40"/>
  <c r="J125" i="3"/>
  <c r="J128" i="7"/>
  <c r="G121" i="29"/>
  <c r="I121" i="29" s="1"/>
  <c r="D122" i="29"/>
  <c r="E122" i="29"/>
  <c r="J124" i="25"/>
  <c r="J120" i="31"/>
  <c r="J127" i="9"/>
  <c r="G126" i="3"/>
  <c r="D127" i="3"/>
  <c r="E127" i="3"/>
  <c r="G129" i="7"/>
  <c r="I129" i="7" s="1"/>
  <c r="D130" i="7"/>
  <c r="E130" i="7"/>
  <c r="G127" i="8"/>
  <c r="I127" i="8" s="1"/>
  <c r="D128" i="8"/>
  <c r="G120" i="47" l="1"/>
  <c r="D121" i="47"/>
  <c r="E121" i="47"/>
  <c r="B122" i="46"/>
  <c r="F122" i="46"/>
  <c r="H122" i="46"/>
  <c r="F120" i="45"/>
  <c r="D121" i="45" s="1"/>
  <c r="G120" i="45"/>
  <c r="I120" i="45" s="1"/>
  <c r="F121" i="38"/>
  <c r="H121" i="38" s="1"/>
  <c r="B120" i="45"/>
  <c r="E129" i="11"/>
  <c r="F129" i="11" s="1"/>
  <c r="H129" i="11" s="1"/>
  <c r="E129" i="9"/>
  <c r="F129" i="9" s="1"/>
  <c r="H129" i="9" s="1"/>
  <c r="E126" i="22"/>
  <c r="F126" i="22" s="1"/>
  <c r="H126" i="22" s="1"/>
  <c r="E123" i="27"/>
  <c r="F123" i="27" s="1"/>
  <c r="H123" i="27" s="1"/>
  <c r="H120" i="42"/>
  <c r="E127" i="4"/>
  <c r="F127" i="4" s="1"/>
  <c r="H127" i="4" s="1"/>
  <c r="E128" i="8"/>
  <c r="F128" i="8" s="1"/>
  <c r="H128" i="8" s="1"/>
  <c r="E125" i="23"/>
  <c r="F125" i="23" s="1"/>
  <c r="H125" i="23" s="1"/>
  <c r="E130" i="10"/>
  <c r="F130" i="10" s="1"/>
  <c r="H130" i="10" s="1"/>
  <c r="D123" i="44"/>
  <c r="H122" i="44"/>
  <c r="E124" i="24"/>
  <c r="F124" i="24" s="1"/>
  <c r="H124" i="24" s="1"/>
  <c r="D121" i="42"/>
  <c r="E123" i="44"/>
  <c r="G122" i="44"/>
  <c r="I122" i="44" s="1"/>
  <c r="J120" i="38"/>
  <c r="D121" i="41"/>
  <c r="G120" i="41"/>
  <c r="I120" i="41" s="1"/>
  <c r="E121" i="42"/>
  <c r="J119" i="41"/>
  <c r="B128" i="8"/>
  <c r="B122" i="29"/>
  <c r="F122" i="29"/>
  <c r="H122" i="29" s="1"/>
  <c r="I126" i="5"/>
  <c r="B129" i="11"/>
  <c r="B122" i="31"/>
  <c r="F122" i="31"/>
  <c r="H122" i="31" s="1"/>
  <c r="B123" i="27"/>
  <c r="B130" i="10"/>
  <c r="B129" i="9"/>
  <c r="B119" i="39"/>
  <c r="F119" i="39"/>
  <c r="H119" i="39" s="1"/>
  <c r="B122" i="28"/>
  <c r="F122" i="28"/>
  <c r="H122" i="28" s="1"/>
  <c r="B124" i="24"/>
  <c r="B127" i="3"/>
  <c r="F127" i="3"/>
  <c r="H127" i="3" s="1"/>
  <c r="B128" i="6"/>
  <c r="F128" i="6"/>
  <c r="H128" i="6" s="1"/>
  <c r="B126" i="22"/>
  <c r="B127" i="4"/>
  <c r="B125" i="23"/>
  <c r="B119" i="43"/>
  <c r="F119" i="43"/>
  <c r="H119" i="43" s="1"/>
  <c r="B130" i="7"/>
  <c r="F130" i="7"/>
  <c r="H130" i="7" s="1"/>
  <c r="I126" i="3"/>
  <c r="B127" i="5"/>
  <c r="F127" i="5"/>
  <c r="H127" i="5" s="1"/>
  <c r="B119" i="37"/>
  <c r="F119" i="37"/>
  <c r="H119" i="37" s="1"/>
  <c r="B126" i="25"/>
  <c r="F126" i="25"/>
  <c r="H126" i="25" s="1"/>
  <c r="B118" i="40"/>
  <c r="F118" i="40"/>
  <c r="H118" i="40" s="1"/>
  <c r="I126" i="4"/>
  <c r="B121" i="30"/>
  <c r="F121" i="30"/>
  <c r="H121" i="30" s="1"/>
  <c r="B121" i="47" l="1"/>
  <c r="F121" i="47"/>
  <c r="I120" i="47"/>
  <c r="H120" i="47"/>
  <c r="D123" i="46"/>
  <c r="G122" i="46"/>
  <c r="I122" i="46" s="1"/>
  <c r="J122" i="46" s="1"/>
  <c r="E123" i="46"/>
  <c r="H120" i="45"/>
  <c r="J120" i="45" s="1"/>
  <c r="E121" i="45"/>
  <c r="F121" i="45" s="1"/>
  <c r="H121" i="45" s="1"/>
  <c r="G121" i="38"/>
  <c r="I121" i="38" s="1"/>
  <c r="F121" i="42"/>
  <c r="H121" i="42" s="1"/>
  <c r="D122" i="38"/>
  <c r="B122" i="38" s="1"/>
  <c r="F123" i="44"/>
  <c r="D124" i="44" s="1"/>
  <c r="B124" i="44" s="1"/>
  <c r="B121" i="45"/>
  <c r="B121" i="42"/>
  <c r="B121" i="41"/>
  <c r="B123" i="44"/>
  <c r="J122" i="44"/>
  <c r="E121" i="41"/>
  <c r="F121" i="41" s="1"/>
  <c r="H121" i="41" s="1"/>
  <c r="E122" i="42"/>
  <c r="J120" i="42"/>
  <c r="E122" i="38"/>
  <c r="J125" i="22"/>
  <c r="J125" i="25"/>
  <c r="J118" i="37"/>
  <c r="J129" i="7"/>
  <c r="J127" i="6"/>
  <c r="J127" i="8"/>
  <c r="J121" i="28"/>
  <c r="J121" i="29"/>
  <c r="J124" i="23"/>
  <c r="J128" i="9"/>
  <c r="J122" i="27"/>
  <c r="J121" i="31"/>
  <c r="J118" i="43"/>
  <c r="G121" i="30"/>
  <c r="I121" i="30" s="1"/>
  <c r="D122" i="30"/>
  <c r="E122" i="30"/>
  <c r="G118" i="40"/>
  <c r="I118" i="40" s="1"/>
  <c r="D119" i="40"/>
  <c r="E119" i="40"/>
  <c r="G126" i="25"/>
  <c r="I126" i="25" s="1"/>
  <c r="D127" i="25"/>
  <c r="G119" i="37"/>
  <c r="I119" i="37" s="1"/>
  <c r="D120" i="37"/>
  <c r="E120" i="37"/>
  <c r="J126" i="3"/>
  <c r="J123" i="24"/>
  <c r="J118" i="39"/>
  <c r="G126" i="22"/>
  <c r="I126" i="22" s="1"/>
  <c r="D127" i="22"/>
  <c r="G128" i="6"/>
  <c r="I128" i="6" s="1"/>
  <c r="D129" i="6"/>
  <c r="J129" i="10"/>
  <c r="G122" i="28"/>
  <c r="I122" i="28" s="1"/>
  <c r="D123" i="28"/>
  <c r="G119" i="39"/>
  <c r="I119" i="39" s="1"/>
  <c r="D120" i="39"/>
  <c r="E120" i="39"/>
  <c r="G129" i="9"/>
  <c r="I129" i="9" s="1"/>
  <c r="D130" i="9"/>
  <c r="E130" i="9"/>
  <c r="G130" i="10"/>
  <c r="I130" i="10" s="1"/>
  <c r="D131" i="10"/>
  <c r="G123" i="27"/>
  <c r="I123" i="27" s="1"/>
  <c r="D124" i="27"/>
  <c r="J126" i="5"/>
  <c r="J126" i="4"/>
  <c r="G127" i="5"/>
  <c r="D128" i="5"/>
  <c r="G130" i="7"/>
  <c r="I130" i="7" s="1"/>
  <c r="D131" i="7"/>
  <c r="G119" i="43"/>
  <c r="I119" i="43" s="1"/>
  <c r="D120" i="43"/>
  <c r="E120" i="43"/>
  <c r="G125" i="23"/>
  <c r="I125" i="23" s="1"/>
  <c r="D126" i="23"/>
  <c r="E126" i="23"/>
  <c r="G127" i="4"/>
  <c r="D128" i="4"/>
  <c r="G127" i="3"/>
  <c r="D128" i="3"/>
  <c r="G124" i="24"/>
  <c r="I124" i="24" s="1"/>
  <c r="D125" i="24"/>
  <c r="E125" i="24"/>
  <c r="J128" i="11"/>
  <c r="J120" i="30"/>
  <c r="J117" i="40"/>
  <c r="G122" i="31"/>
  <c r="I122" i="31" s="1"/>
  <c r="D123" i="31"/>
  <c r="G129" i="11"/>
  <c r="I129" i="11" s="1"/>
  <c r="D130" i="11"/>
  <c r="G122" i="29"/>
  <c r="I122" i="29" s="1"/>
  <c r="D123" i="29"/>
  <c r="E123" i="29"/>
  <c r="G128" i="8"/>
  <c r="I128" i="8" s="1"/>
  <c r="D129" i="8"/>
  <c r="E129" i="8"/>
  <c r="G121" i="47" l="1"/>
  <c r="D122" i="47"/>
  <c r="E122" i="47"/>
  <c r="J120" i="47"/>
  <c r="B123" i="46"/>
  <c r="F123" i="46"/>
  <c r="H123" i="46" s="1"/>
  <c r="F122" i="38"/>
  <c r="H122" i="38" s="1"/>
  <c r="D122" i="42"/>
  <c r="B122" i="42" s="1"/>
  <c r="G121" i="42"/>
  <c r="I121" i="42" s="1"/>
  <c r="G123" i="44"/>
  <c r="I123" i="44" s="1"/>
  <c r="H123" i="44"/>
  <c r="E124" i="44"/>
  <c r="F124" i="44" s="1"/>
  <c r="H124" i="44" s="1"/>
  <c r="G121" i="45"/>
  <c r="I121" i="45" s="1"/>
  <c r="J121" i="45" s="1"/>
  <c r="D122" i="45"/>
  <c r="E122" i="45"/>
  <c r="E127" i="22"/>
  <c r="F127" i="22" s="1"/>
  <c r="H127" i="22" s="1"/>
  <c r="E124" i="27"/>
  <c r="F124" i="27" s="1"/>
  <c r="H124" i="27" s="1"/>
  <c r="E129" i="6"/>
  <c r="F129" i="6" s="1"/>
  <c r="H129" i="6" s="1"/>
  <c r="E127" i="25"/>
  <c r="F127" i="25" s="1"/>
  <c r="H127" i="25" s="1"/>
  <c r="E128" i="3"/>
  <c r="F128" i="3" s="1"/>
  <c r="H128" i="3" s="1"/>
  <c r="E128" i="5"/>
  <c r="F128" i="5" s="1"/>
  <c r="H128" i="5" s="1"/>
  <c r="E130" i="11"/>
  <c r="F130" i="11" s="1"/>
  <c r="H130" i="11" s="1"/>
  <c r="E128" i="4"/>
  <c r="F128" i="4" s="1"/>
  <c r="H128" i="4" s="1"/>
  <c r="E131" i="7"/>
  <c r="F131" i="7" s="1"/>
  <c r="H131" i="7" s="1"/>
  <c r="E131" i="10"/>
  <c r="F131" i="10" s="1"/>
  <c r="H131" i="10" s="1"/>
  <c r="E123" i="28"/>
  <c r="F123" i="28" s="1"/>
  <c r="H123" i="28" s="1"/>
  <c r="E123" i="31"/>
  <c r="F123" i="31" s="1"/>
  <c r="H123" i="31" s="1"/>
  <c r="D125" i="44"/>
  <c r="J120" i="41"/>
  <c r="J121" i="38"/>
  <c r="G121" i="41"/>
  <c r="I121" i="41" s="1"/>
  <c r="D122" i="41"/>
  <c r="B130" i="11"/>
  <c r="B123" i="29"/>
  <c r="F123" i="29"/>
  <c r="H123" i="29" s="1"/>
  <c r="B125" i="24"/>
  <c r="F125" i="24"/>
  <c r="H125" i="24" s="1"/>
  <c r="I127" i="3"/>
  <c r="B120" i="43"/>
  <c r="F120" i="43"/>
  <c r="H120" i="43" s="1"/>
  <c r="B120" i="39"/>
  <c r="F120" i="39"/>
  <c r="H120" i="39" s="1"/>
  <c r="B120" i="37"/>
  <c r="F120" i="37"/>
  <c r="H120" i="37" s="1"/>
  <c r="B129" i="8"/>
  <c r="F129" i="8"/>
  <c r="H129" i="8" s="1"/>
  <c r="B126" i="23"/>
  <c r="F126" i="23"/>
  <c r="H126" i="23" s="1"/>
  <c r="B130" i="9"/>
  <c r="F130" i="9"/>
  <c r="H130" i="9" s="1"/>
  <c r="B122" i="30"/>
  <c r="F122" i="30"/>
  <c r="H122" i="30" s="1"/>
  <c r="B128" i="4"/>
  <c r="B128" i="5"/>
  <c r="B131" i="10"/>
  <c r="B127" i="22"/>
  <c r="B119" i="40"/>
  <c r="F119" i="40"/>
  <c r="H119" i="40" s="1"/>
  <c r="B123" i="31"/>
  <c r="B128" i="3"/>
  <c r="I127" i="4"/>
  <c r="B131" i="7"/>
  <c r="I127" i="5"/>
  <c r="B124" i="27"/>
  <c r="B123" i="28"/>
  <c r="B129" i="6"/>
  <c r="B127" i="25"/>
  <c r="B122" i="47" l="1"/>
  <c r="F122" i="47"/>
  <c r="H121" i="47"/>
  <c r="I121" i="47"/>
  <c r="J121" i="47" s="1"/>
  <c r="D124" i="46"/>
  <c r="G123" i="46"/>
  <c r="I123" i="46" s="1"/>
  <c r="J123" i="46" s="1"/>
  <c r="E124" i="46"/>
  <c r="G124" i="44"/>
  <c r="I124" i="44" s="1"/>
  <c r="J124" i="44" s="1"/>
  <c r="D123" i="38"/>
  <c r="G122" i="38"/>
  <c r="I122" i="38" s="1"/>
  <c r="F122" i="42"/>
  <c r="G122" i="42" s="1"/>
  <c r="I122" i="42" s="1"/>
  <c r="E125" i="44"/>
  <c r="F125" i="44" s="1"/>
  <c r="G125" i="44" s="1"/>
  <c r="I125" i="44" s="1"/>
  <c r="J123" i="44"/>
  <c r="F122" i="45"/>
  <c r="B122" i="45"/>
  <c r="B125" i="44"/>
  <c r="J121" i="42"/>
  <c r="E122" i="41"/>
  <c r="F122" i="41" s="1"/>
  <c r="H122" i="41" s="1"/>
  <c r="B122" i="41"/>
  <c r="E123" i="38"/>
  <c r="F123" i="38" s="1"/>
  <c r="H123" i="38" s="1"/>
  <c r="B123" i="38"/>
  <c r="J127" i="5"/>
  <c r="J122" i="29"/>
  <c r="J127" i="4"/>
  <c r="J121" i="30"/>
  <c r="J128" i="8"/>
  <c r="J119" i="37"/>
  <c r="J126" i="25"/>
  <c r="J127" i="3"/>
  <c r="G127" i="25"/>
  <c r="I127" i="25" s="1"/>
  <c r="D128" i="25"/>
  <c r="J118" i="40"/>
  <c r="J126" i="22"/>
  <c r="G123" i="28"/>
  <c r="I123" i="28" s="1"/>
  <c r="D124" i="28"/>
  <c r="G124" i="27"/>
  <c r="I124" i="27" s="1"/>
  <c r="D125" i="27"/>
  <c r="G131" i="7"/>
  <c r="I131" i="7" s="1"/>
  <c r="D132" i="7"/>
  <c r="G128" i="3"/>
  <c r="D129" i="3"/>
  <c r="E129" i="3"/>
  <c r="G123" i="31"/>
  <c r="I123" i="31" s="1"/>
  <c r="D124" i="31"/>
  <c r="E124" i="31"/>
  <c r="G119" i="40"/>
  <c r="I119" i="40" s="1"/>
  <c r="D120" i="40"/>
  <c r="E120" i="40"/>
  <c r="J129" i="9"/>
  <c r="G128" i="5"/>
  <c r="D129" i="5"/>
  <c r="G128" i="4"/>
  <c r="D129" i="4"/>
  <c r="G122" i="30"/>
  <c r="I122" i="30" s="1"/>
  <c r="D123" i="30"/>
  <c r="J119" i="39"/>
  <c r="J119" i="43"/>
  <c r="J124" i="24"/>
  <c r="G129" i="8"/>
  <c r="I129" i="8" s="1"/>
  <c r="D130" i="8"/>
  <c r="G120" i="37"/>
  <c r="I120" i="37" s="1"/>
  <c r="D121" i="37"/>
  <c r="J122" i="28"/>
  <c r="J123" i="27"/>
  <c r="G120" i="43"/>
  <c r="I120" i="43" s="1"/>
  <c r="D121" i="43"/>
  <c r="G125" i="24"/>
  <c r="I125" i="24" s="1"/>
  <c r="D126" i="24"/>
  <c r="G123" i="29"/>
  <c r="I123" i="29" s="1"/>
  <c r="D124" i="29"/>
  <c r="G129" i="6"/>
  <c r="I129" i="6" s="1"/>
  <c r="D130" i="6"/>
  <c r="G127" i="22"/>
  <c r="I127" i="22" s="1"/>
  <c r="D128" i="22"/>
  <c r="G131" i="10"/>
  <c r="I131" i="10" s="1"/>
  <c r="D132" i="10"/>
  <c r="G130" i="9"/>
  <c r="I130" i="9" s="1"/>
  <c r="D131" i="9"/>
  <c r="E131" i="9"/>
  <c r="G126" i="23"/>
  <c r="I126" i="23" s="1"/>
  <c r="D127" i="23"/>
  <c r="J128" i="6"/>
  <c r="G120" i="39"/>
  <c r="I120" i="39" s="1"/>
  <c r="D121" i="39"/>
  <c r="J130" i="7"/>
  <c r="J129" i="11"/>
  <c r="G130" i="11"/>
  <c r="I130" i="11" s="1"/>
  <c r="D131" i="11"/>
  <c r="J130" i="10"/>
  <c r="J122" i="31"/>
  <c r="J125" i="23"/>
  <c r="D123" i="47" l="1"/>
  <c r="G122" i="47"/>
  <c r="E123" i="47"/>
  <c r="B124" i="46"/>
  <c r="F124" i="46"/>
  <c r="H124" i="46" s="1"/>
  <c r="H122" i="42"/>
  <c r="J122" i="42" s="1"/>
  <c r="E123" i="42"/>
  <c r="D123" i="42"/>
  <c r="B123" i="42" s="1"/>
  <c r="H122" i="45"/>
  <c r="D123" i="45"/>
  <c r="G122" i="45"/>
  <c r="I122" i="45" s="1"/>
  <c r="E123" i="45"/>
  <c r="E128" i="22"/>
  <c r="F128" i="22" s="1"/>
  <c r="H128" i="22" s="1"/>
  <c r="E124" i="29"/>
  <c r="F124" i="29" s="1"/>
  <c r="H124" i="29" s="1"/>
  <c r="E121" i="39"/>
  <c r="F121" i="39" s="1"/>
  <c r="H121" i="39" s="1"/>
  <c r="E132" i="10"/>
  <c r="F132" i="10" s="1"/>
  <c r="H132" i="10" s="1"/>
  <c r="E130" i="6"/>
  <c r="F130" i="6" s="1"/>
  <c r="H130" i="6" s="1"/>
  <c r="E130" i="8"/>
  <c r="F130" i="8" s="1"/>
  <c r="H130" i="8" s="1"/>
  <c r="E121" i="43"/>
  <c r="F121" i="43" s="1"/>
  <c r="H121" i="43" s="1"/>
  <c r="E127" i="23"/>
  <c r="F127" i="23" s="1"/>
  <c r="H127" i="23" s="1"/>
  <c r="E129" i="4"/>
  <c r="F129" i="4" s="1"/>
  <c r="H129" i="4" s="1"/>
  <c r="E125" i="27"/>
  <c r="F125" i="27" s="1"/>
  <c r="H125" i="27" s="1"/>
  <c r="E131" i="11"/>
  <c r="F131" i="11" s="1"/>
  <c r="H131" i="11" s="1"/>
  <c r="E123" i="30"/>
  <c r="F123" i="30" s="1"/>
  <c r="H123" i="30" s="1"/>
  <c r="E129" i="5"/>
  <c r="F129" i="5" s="1"/>
  <c r="H129" i="5" s="1"/>
  <c r="E132" i="7"/>
  <c r="F132" i="7" s="1"/>
  <c r="H132" i="7" s="1"/>
  <c r="E124" i="28"/>
  <c r="F124" i="28" s="1"/>
  <c r="H124" i="28" s="1"/>
  <c r="E128" i="25"/>
  <c r="F128" i="25" s="1"/>
  <c r="H128" i="25" s="1"/>
  <c r="D126" i="44"/>
  <c r="B126" i="44" s="1"/>
  <c r="H125" i="44"/>
  <c r="E121" i="37"/>
  <c r="F121" i="37" s="1"/>
  <c r="H121" i="37" s="1"/>
  <c r="E126" i="24"/>
  <c r="F126" i="24" s="1"/>
  <c r="H126" i="24" s="1"/>
  <c r="E126" i="44"/>
  <c r="J121" i="41"/>
  <c r="G123" i="38"/>
  <c r="I123" i="38" s="1"/>
  <c r="D124" i="38"/>
  <c r="E124" i="38"/>
  <c r="J122" i="38"/>
  <c r="D123" i="41"/>
  <c r="G122" i="41"/>
  <c r="I122" i="41" s="1"/>
  <c r="B131" i="11"/>
  <c r="B131" i="9"/>
  <c r="F131" i="9"/>
  <c r="H131" i="9" s="1"/>
  <c r="B124" i="29"/>
  <c r="B123" i="30"/>
  <c r="I128" i="4"/>
  <c r="B129" i="3"/>
  <c r="F129" i="3"/>
  <c r="H129" i="3" s="1"/>
  <c r="B121" i="39"/>
  <c r="B127" i="23"/>
  <c r="B130" i="6"/>
  <c r="B124" i="31"/>
  <c r="F124" i="31"/>
  <c r="H124" i="31" s="1"/>
  <c r="I128" i="3"/>
  <c r="B124" i="28"/>
  <c r="B128" i="22"/>
  <c r="B121" i="43"/>
  <c r="B130" i="8"/>
  <c r="B129" i="5"/>
  <c r="B120" i="40"/>
  <c r="F120" i="40"/>
  <c r="H120" i="40" s="1"/>
  <c r="B125" i="27"/>
  <c r="B128" i="25"/>
  <c r="B132" i="10"/>
  <c r="B126" i="24"/>
  <c r="B121" i="37"/>
  <c r="B129" i="4"/>
  <c r="I128" i="5"/>
  <c r="B132" i="7"/>
  <c r="I122" i="47" l="1"/>
  <c r="H122" i="47"/>
  <c r="B123" i="47"/>
  <c r="F123" i="47"/>
  <c r="D125" i="46"/>
  <c r="G124" i="46"/>
  <c r="I124" i="46" s="1"/>
  <c r="J124" i="46" s="1"/>
  <c r="E125" i="46"/>
  <c r="F123" i="45"/>
  <c r="G123" i="45" s="1"/>
  <c r="I123" i="45" s="1"/>
  <c r="F123" i="42"/>
  <c r="H123" i="42" s="1"/>
  <c r="J122" i="45"/>
  <c r="D124" i="42"/>
  <c r="B124" i="42" s="1"/>
  <c r="B123" i="45"/>
  <c r="F126" i="44"/>
  <c r="D127" i="44" s="1"/>
  <c r="B124" i="38"/>
  <c r="J125" i="44"/>
  <c r="F124" i="38"/>
  <c r="G124" i="38" s="1"/>
  <c r="I124" i="38" s="1"/>
  <c r="E123" i="41"/>
  <c r="F123" i="41" s="1"/>
  <c r="H123" i="41" s="1"/>
  <c r="B123" i="41"/>
  <c r="E124" i="42"/>
  <c r="J123" i="29"/>
  <c r="J130" i="9"/>
  <c r="J155" i="9" s="1"/>
  <c r="J128" i="3"/>
  <c r="J128" i="4"/>
  <c r="J129" i="8"/>
  <c r="J127" i="22"/>
  <c r="J127" i="25"/>
  <c r="J129" i="6"/>
  <c r="G132" i="7"/>
  <c r="I132" i="7" s="1"/>
  <c r="D133" i="7"/>
  <c r="J128" i="5"/>
  <c r="J120" i="43"/>
  <c r="J120" i="39"/>
  <c r="G128" i="25"/>
  <c r="I128" i="25" s="1"/>
  <c r="D129" i="25"/>
  <c r="E129" i="25"/>
  <c r="G125" i="27"/>
  <c r="I125" i="27" s="1"/>
  <c r="D126" i="27"/>
  <c r="G120" i="40"/>
  <c r="I120" i="40" s="1"/>
  <c r="D121" i="40"/>
  <c r="G130" i="8"/>
  <c r="I130" i="8" s="1"/>
  <c r="D131" i="8"/>
  <c r="E131" i="8"/>
  <c r="J126" i="23"/>
  <c r="J122" i="30"/>
  <c r="G130" i="6"/>
  <c r="I130" i="6" s="1"/>
  <c r="D131" i="6"/>
  <c r="G127" i="23"/>
  <c r="I127" i="23" s="1"/>
  <c r="D128" i="23"/>
  <c r="J131" i="7"/>
  <c r="J120" i="37"/>
  <c r="G124" i="29"/>
  <c r="I124" i="29" s="1"/>
  <c r="D125" i="29"/>
  <c r="G131" i="9"/>
  <c r="I131" i="9" s="1"/>
  <c r="D132" i="9"/>
  <c r="E132" i="9"/>
  <c r="J124" i="27"/>
  <c r="J119" i="40"/>
  <c r="G129" i="4"/>
  <c r="D130" i="4"/>
  <c r="G121" i="37"/>
  <c r="I121" i="37" s="1"/>
  <c r="D122" i="37"/>
  <c r="E122" i="37"/>
  <c r="G126" i="24"/>
  <c r="I126" i="24" s="1"/>
  <c r="D127" i="24"/>
  <c r="E127" i="24"/>
  <c r="G132" i="10"/>
  <c r="I132" i="10" s="1"/>
  <c r="D133" i="10"/>
  <c r="J130" i="11"/>
  <c r="J155" i="11" s="1"/>
  <c r="J123" i="28"/>
  <c r="J123" i="31"/>
  <c r="G129" i="5"/>
  <c r="D130" i="5"/>
  <c r="G121" i="43"/>
  <c r="I121" i="43" s="1"/>
  <c r="D122" i="43"/>
  <c r="G128" i="22"/>
  <c r="I128" i="22" s="1"/>
  <c r="D129" i="22"/>
  <c r="G124" i="28"/>
  <c r="I124" i="28" s="1"/>
  <c r="D125" i="28"/>
  <c r="G124" i="31"/>
  <c r="I124" i="31" s="1"/>
  <c r="D125" i="31"/>
  <c r="E125" i="31"/>
  <c r="G121" i="39"/>
  <c r="I121" i="39" s="1"/>
  <c r="D122" i="39"/>
  <c r="E122" i="39"/>
  <c r="G129" i="3"/>
  <c r="D130" i="3"/>
  <c r="G123" i="30"/>
  <c r="I123" i="30" s="1"/>
  <c r="D124" i="30"/>
  <c r="J125" i="24"/>
  <c r="J131" i="10"/>
  <c r="G131" i="11"/>
  <c r="I131" i="11" s="1"/>
  <c r="D132" i="11"/>
  <c r="G123" i="47" l="1"/>
  <c r="D124" i="47"/>
  <c r="E124" i="47"/>
  <c r="J122" i="47"/>
  <c r="F125" i="46"/>
  <c r="B125" i="46"/>
  <c r="H125" i="46"/>
  <c r="G123" i="42"/>
  <c r="I123" i="42" s="1"/>
  <c r="J123" i="42" s="1"/>
  <c r="E124" i="45"/>
  <c r="H123" i="45"/>
  <c r="J123" i="45" s="1"/>
  <c r="D124" i="45"/>
  <c r="B124" i="45" s="1"/>
  <c r="F124" i="42"/>
  <c r="H124" i="42" s="1"/>
  <c r="G126" i="44"/>
  <c r="I126" i="44" s="1"/>
  <c r="E126" i="27"/>
  <c r="F126" i="27" s="1"/>
  <c r="H126" i="27" s="1"/>
  <c r="E133" i="7"/>
  <c r="F133" i="7" s="1"/>
  <c r="H133" i="7" s="1"/>
  <c r="E132" i="11"/>
  <c r="F132" i="11" s="1"/>
  <c r="H132" i="11" s="1"/>
  <c r="E125" i="29"/>
  <c r="F125" i="29" s="1"/>
  <c r="H125" i="29" s="1"/>
  <c r="E133" i="10"/>
  <c r="F133" i="10" s="1"/>
  <c r="H133" i="10" s="1"/>
  <c r="E130" i="4"/>
  <c r="F130" i="4" s="1"/>
  <c r="H130" i="4" s="1"/>
  <c r="E121" i="40"/>
  <c r="F121" i="40" s="1"/>
  <c r="H121" i="40" s="1"/>
  <c r="H126" i="44"/>
  <c r="E124" i="30"/>
  <c r="F124" i="30" s="1"/>
  <c r="H124" i="30" s="1"/>
  <c r="E129" i="22"/>
  <c r="F129" i="22" s="1"/>
  <c r="H129" i="22" s="1"/>
  <c r="E130" i="5"/>
  <c r="F130" i="5" s="1"/>
  <c r="H130" i="5" s="1"/>
  <c r="E128" i="23"/>
  <c r="F128" i="23" s="1"/>
  <c r="H128" i="23" s="1"/>
  <c r="E130" i="3"/>
  <c r="F130" i="3" s="1"/>
  <c r="H130" i="3" s="1"/>
  <c r="E125" i="28"/>
  <c r="F125" i="28" s="1"/>
  <c r="H125" i="28" s="1"/>
  <c r="E122" i="43"/>
  <c r="F122" i="43" s="1"/>
  <c r="H122" i="43" s="1"/>
  <c r="E131" i="6"/>
  <c r="F131" i="6" s="1"/>
  <c r="H131" i="6" s="1"/>
  <c r="H124" i="38"/>
  <c r="D125" i="38"/>
  <c r="J122" i="41"/>
  <c r="E127" i="44"/>
  <c r="F127" i="44" s="1"/>
  <c r="H127" i="44" s="1"/>
  <c r="B127" i="44"/>
  <c r="E125" i="38"/>
  <c r="G123" i="41"/>
  <c r="I123" i="41" s="1"/>
  <c r="D124" i="41"/>
  <c r="J123" i="38"/>
  <c r="B130" i="5"/>
  <c r="B122" i="39"/>
  <c r="F122" i="39"/>
  <c r="H122" i="39" s="1"/>
  <c r="B122" i="43"/>
  <c r="I129" i="5"/>
  <c r="B127" i="24"/>
  <c r="F127" i="24"/>
  <c r="H127" i="24" s="1"/>
  <c r="B129" i="25"/>
  <c r="F129" i="25"/>
  <c r="H129" i="25" s="1"/>
  <c r="B132" i="11"/>
  <c r="B130" i="3"/>
  <c r="B129" i="22"/>
  <c r="B133" i="10"/>
  <c r="B126" i="27"/>
  <c r="B124" i="30"/>
  <c r="I129" i="3"/>
  <c r="B125" i="28"/>
  <c r="B130" i="4"/>
  <c r="B125" i="29"/>
  <c r="B131" i="6"/>
  <c r="B121" i="40"/>
  <c r="B133" i="7"/>
  <c r="B125" i="31"/>
  <c r="F125" i="31"/>
  <c r="H125" i="31" s="1"/>
  <c r="B122" i="37"/>
  <c r="F122" i="37"/>
  <c r="H122" i="37" s="1"/>
  <c r="I129" i="4"/>
  <c r="B132" i="9"/>
  <c r="F132" i="9"/>
  <c r="H132" i="9" s="1"/>
  <c r="B128" i="23"/>
  <c r="B131" i="8"/>
  <c r="F131" i="8"/>
  <c r="H131" i="8" s="1"/>
  <c r="B124" i="47" l="1"/>
  <c r="F124" i="47"/>
  <c r="I123" i="47"/>
  <c r="H123" i="47"/>
  <c r="G125" i="46"/>
  <c r="I125" i="46" s="1"/>
  <c r="J125" i="46" s="1"/>
  <c r="E126" i="46"/>
  <c r="D126" i="46"/>
  <c r="G124" i="42"/>
  <c r="I124" i="42" s="1"/>
  <c r="D125" i="42"/>
  <c r="B125" i="42" s="1"/>
  <c r="F124" i="45"/>
  <c r="G124" i="45" s="1"/>
  <c r="I124" i="45" s="1"/>
  <c r="D125" i="45"/>
  <c r="B124" i="41"/>
  <c r="B125" i="38"/>
  <c r="F125" i="38"/>
  <c r="D126" i="38" s="1"/>
  <c r="G127" i="44"/>
  <c r="I127" i="44" s="1"/>
  <c r="D128" i="44"/>
  <c r="E128" i="44"/>
  <c r="J126" i="44"/>
  <c r="J124" i="38"/>
  <c r="E124" i="41"/>
  <c r="F124" i="41" s="1"/>
  <c r="G124" i="41" s="1"/>
  <c r="I124" i="41" s="1"/>
  <c r="E125" i="42"/>
  <c r="J121" i="37"/>
  <c r="J129" i="5"/>
  <c r="J124" i="31"/>
  <c r="J120" i="40"/>
  <c r="J123" i="30"/>
  <c r="J128" i="25"/>
  <c r="J132" i="7"/>
  <c r="G131" i="8"/>
  <c r="I131" i="8" s="1"/>
  <c r="D132" i="8"/>
  <c r="E132" i="8"/>
  <c r="G128" i="23"/>
  <c r="I128" i="23" s="1"/>
  <c r="D129" i="23"/>
  <c r="G132" i="9"/>
  <c r="I132" i="9" s="1"/>
  <c r="D133" i="9"/>
  <c r="G122" i="37"/>
  <c r="I122" i="37" s="1"/>
  <c r="D123" i="37"/>
  <c r="G125" i="31"/>
  <c r="I125" i="31" s="1"/>
  <c r="D126" i="31"/>
  <c r="E126" i="31"/>
  <c r="J125" i="27"/>
  <c r="G131" i="6"/>
  <c r="I131" i="6" s="1"/>
  <c r="D132" i="6"/>
  <c r="E132" i="6"/>
  <c r="G130" i="4"/>
  <c r="D131" i="4"/>
  <c r="J128" i="22"/>
  <c r="J129" i="3"/>
  <c r="J126" i="24"/>
  <c r="J121" i="43"/>
  <c r="J121" i="39"/>
  <c r="G132" i="11"/>
  <c r="I132" i="11" s="1"/>
  <c r="D133" i="11"/>
  <c r="J130" i="8"/>
  <c r="G127" i="24"/>
  <c r="I127" i="24" s="1"/>
  <c r="D128" i="24"/>
  <c r="G122" i="43"/>
  <c r="I122" i="43" s="1"/>
  <c r="D123" i="43"/>
  <c r="E123" i="43"/>
  <c r="G122" i="39"/>
  <c r="I122" i="39" s="1"/>
  <c r="D123" i="39"/>
  <c r="J130" i="6"/>
  <c r="J124" i="29"/>
  <c r="J129" i="4"/>
  <c r="J124" i="28"/>
  <c r="G133" i="7"/>
  <c r="I133" i="7" s="1"/>
  <c r="D134" i="7"/>
  <c r="E134" i="7"/>
  <c r="G121" i="40"/>
  <c r="I121" i="40" s="1"/>
  <c r="D122" i="40"/>
  <c r="G125" i="29"/>
  <c r="I125" i="29" s="1"/>
  <c r="D126" i="29"/>
  <c r="J132" i="10"/>
  <c r="G125" i="28"/>
  <c r="I125" i="28" s="1"/>
  <c r="D126" i="28"/>
  <c r="G124" i="30"/>
  <c r="I124" i="30" s="1"/>
  <c r="D125" i="30"/>
  <c r="E125" i="30"/>
  <c r="G126" i="27"/>
  <c r="I126" i="27" s="1"/>
  <c r="D127" i="27"/>
  <c r="E127" i="27"/>
  <c r="G133" i="10"/>
  <c r="I133" i="10" s="1"/>
  <c r="D134" i="10"/>
  <c r="G129" i="22"/>
  <c r="I129" i="22" s="1"/>
  <c r="D130" i="22"/>
  <c r="G130" i="3"/>
  <c r="D131" i="3"/>
  <c r="G129" i="25"/>
  <c r="I129" i="25" s="1"/>
  <c r="D130" i="25"/>
  <c r="J127" i="23"/>
  <c r="G130" i="5"/>
  <c r="D131" i="5"/>
  <c r="J123" i="47" l="1"/>
  <c r="G124" i="47"/>
  <c r="D125" i="47"/>
  <c r="E125" i="47"/>
  <c r="F126" i="46"/>
  <c r="H126" i="46" s="1"/>
  <c r="B126" i="46"/>
  <c r="H124" i="45"/>
  <c r="J124" i="45" s="1"/>
  <c r="E125" i="45"/>
  <c r="F125" i="45" s="1"/>
  <c r="F125" i="42"/>
  <c r="H125" i="42" s="1"/>
  <c r="B125" i="45"/>
  <c r="E130" i="22"/>
  <c r="F130" i="22" s="1"/>
  <c r="H130" i="22" s="1"/>
  <c r="E133" i="11"/>
  <c r="F133" i="11" s="1"/>
  <c r="H133" i="11" s="1"/>
  <c r="E126" i="29"/>
  <c r="F126" i="29" s="1"/>
  <c r="H126" i="29" s="1"/>
  <c r="H125" i="38"/>
  <c r="E130" i="25"/>
  <c r="F130" i="25" s="1"/>
  <c r="H130" i="25" s="1"/>
  <c r="E123" i="39"/>
  <c r="F123" i="39" s="1"/>
  <c r="H123" i="39" s="1"/>
  <c r="E131" i="5"/>
  <c r="F131" i="5" s="1"/>
  <c r="H131" i="5" s="1"/>
  <c r="E134" i="10"/>
  <c r="F134" i="10" s="1"/>
  <c r="H134" i="10" s="1"/>
  <c r="E126" i="28"/>
  <c r="E133" i="9"/>
  <c r="F133" i="9" s="1"/>
  <c r="H133" i="9" s="1"/>
  <c r="G125" i="38"/>
  <c r="I125" i="38" s="1"/>
  <c r="E129" i="23"/>
  <c r="F129" i="23" s="1"/>
  <c r="H129" i="23" s="1"/>
  <c r="E131" i="3"/>
  <c r="F131" i="3" s="1"/>
  <c r="H131" i="3" s="1"/>
  <c r="E122" i="40"/>
  <c r="F122" i="40" s="1"/>
  <c r="H122" i="40" s="1"/>
  <c r="E131" i="4"/>
  <c r="F131" i="4" s="1"/>
  <c r="H131" i="4" s="1"/>
  <c r="H124" i="41"/>
  <c r="B128" i="44"/>
  <c r="E123" i="37"/>
  <c r="F123" i="37" s="1"/>
  <c r="H123" i="37" s="1"/>
  <c r="E128" i="24"/>
  <c r="F128" i="24" s="1"/>
  <c r="H128" i="24" s="1"/>
  <c r="F128" i="44"/>
  <c r="H128" i="44" s="1"/>
  <c r="D125" i="41"/>
  <c r="J123" i="41"/>
  <c r="J124" i="42"/>
  <c r="G125" i="42"/>
  <c r="I125" i="42" s="1"/>
  <c r="E126" i="38"/>
  <c r="F126" i="38" s="1"/>
  <c r="H126" i="38" s="1"/>
  <c r="B126" i="38"/>
  <c r="B131" i="5"/>
  <c r="I130" i="3"/>
  <c r="I130" i="5"/>
  <c r="B131" i="3"/>
  <c r="B125" i="30"/>
  <c r="F125" i="30"/>
  <c r="H125" i="30" s="1"/>
  <c r="B123" i="39"/>
  <c r="B123" i="37"/>
  <c r="B130" i="25"/>
  <c r="B127" i="27"/>
  <c r="F127" i="27"/>
  <c r="H127" i="27" s="1"/>
  <c r="B134" i="7"/>
  <c r="F134" i="7"/>
  <c r="H134" i="7" s="1"/>
  <c r="B132" i="6"/>
  <c r="F132" i="6"/>
  <c r="H132" i="6" s="1"/>
  <c r="B126" i="31"/>
  <c r="F126" i="31"/>
  <c r="H126" i="31" s="1"/>
  <c r="B132" i="8"/>
  <c r="F132" i="8"/>
  <c r="H132" i="8" s="1"/>
  <c r="B134" i="10"/>
  <c r="B122" i="40"/>
  <c r="B128" i="24"/>
  <c r="B133" i="11"/>
  <c r="B131" i="4"/>
  <c r="B129" i="23"/>
  <c r="B130" i="22"/>
  <c r="B126" i="28"/>
  <c r="F126" i="28"/>
  <c r="H126" i="28" s="1"/>
  <c r="B126" i="29"/>
  <c r="B123" i="43"/>
  <c r="F123" i="43"/>
  <c r="H123" i="43" s="1"/>
  <c r="I130" i="4"/>
  <c r="B133" i="9"/>
  <c r="B125" i="47" l="1"/>
  <c r="F125" i="47"/>
  <c r="H124" i="47"/>
  <c r="I124" i="47"/>
  <c r="G126" i="46"/>
  <c r="I126" i="46" s="1"/>
  <c r="J126" i="46" s="1"/>
  <c r="E127" i="46"/>
  <c r="D127" i="46"/>
  <c r="H125" i="45"/>
  <c r="G125" i="45"/>
  <c r="I125" i="45" s="1"/>
  <c r="E126" i="45"/>
  <c r="D126" i="45"/>
  <c r="B126" i="45" s="1"/>
  <c r="D126" i="42"/>
  <c r="B126" i="42" s="1"/>
  <c r="G128" i="44"/>
  <c r="I128" i="44" s="1"/>
  <c r="D129" i="44"/>
  <c r="B129" i="44" s="1"/>
  <c r="B125" i="41"/>
  <c r="E125" i="41"/>
  <c r="F125" i="41" s="1"/>
  <c r="J124" i="41"/>
  <c r="J127" i="44"/>
  <c r="E129" i="44"/>
  <c r="D127" i="38"/>
  <c r="G126" i="38"/>
  <c r="I126" i="38" s="1"/>
  <c r="E126" i="42"/>
  <c r="J125" i="38"/>
  <c r="J130" i="3"/>
  <c r="J129" i="22"/>
  <c r="J122" i="37"/>
  <c r="J125" i="31"/>
  <c r="J127" i="24"/>
  <c r="J126" i="27"/>
  <c r="J133" i="10"/>
  <c r="J122" i="39"/>
  <c r="J124" i="30"/>
  <c r="J128" i="23"/>
  <c r="J130" i="4"/>
  <c r="J121" i="40"/>
  <c r="G126" i="28"/>
  <c r="I126" i="28" s="1"/>
  <c r="D127" i="28"/>
  <c r="G130" i="22"/>
  <c r="I130" i="22" s="1"/>
  <c r="D131" i="22"/>
  <c r="E131" i="22"/>
  <c r="J131" i="8"/>
  <c r="G131" i="4"/>
  <c r="D132" i="4"/>
  <c r="E132" i="4"/>
  <c r="G128" i="24"/>
  <c r="I128" i="24" s="1"/>
  <c r="D129" i="24"/>
  <c r="E129" i="24"/>
  <c r="G122" i="40"/>
  <c r="I122" i="40" s="1"/>
  <c r="D123" i="40"/>
  <c r="G134" i="10"/>
  <c r="I134" i="10" s="1"/>
  <c r="D135" i="10"/>
  <c r="G132" i="6"/>
  <c r="I132" i="6" s="1"/>
  <c r="D133" i="6"/>
  <c r="G134" i="7"/>
  <c r="I134" i="7" s="1"/>
  <c r="D135" i="7"/>
  <c r="E135" i="7"/>
  <c r="G127" i="27"/>
  <c r="I127" i="27" s="1"/>
  <c r="D128" i="27"/>
  <c r="J122" i="43"/>
  <c r="J125" i="29"/>
  <c r="G125" i="30"/>
  <c r="I125" i="30" s="1"/>
  <c r="D126" i="30"/>
  <c r="E126" i="30"/>
  <c r="G131" i="3"/>
  <c r="D132" i="3"/>
  <c r="G133" i="9"/>
  <c r="I133" i="9" s="1"/>
  <c r="D134" i="9"/>
  <c r="G123" i="43"/>
  <c r="I123" i="43" s="1"/>
  <c r="D124" i="43"/>
  <c r="G126" i="29"/>
  <c r="I126" i="29" s="1"/>
  <c r="D127" i="29"/>
  <c r="E127" i="29"/>
  <c r="J129" i="25"/>
  <c r="G129" i="23"/>
  <c r="I129" i="23" s="1"/>
  <c r="D130" i="23"/>
  <c r="E130" i="23"/>
  <c r="J131" i="6"/>
  <c r="G133" i="11"/>
  <c r="I133" i="11" s="1"/>
  <c r="D134" i="11"/>
  <c r="E134" i="11"/>
  <c r="J133" i="7"/>
  <c r="G132" i="8"/>
  <c r="I132" i="8" s="1"/>
  <c r="D133" i="8"/>
  <c r="E133" i="8"/>
  <c r="G126" i="31"/>
  <c r="I126" i="31" s="1"/>
  <c r="D127" i="31"/>
  <c r="G130" i="25"/>
  <c r="I130" i="25" s="1"/>
  <c r="D131" i="25"/>
  <c r="G123" i="37"/>
  <c r="I123" i="37" s="1"/>
  <c r="D124" i="37"/>
  <c r="G123" i="39"/>
  <c r="I123" i="39" s="1"/>
  <c r="D124" i="39"/>
  <c r="J125" i="28"/>
  <c r="J130" i="5"/>
  <c r="G131" i="5"/>
  <c r="D132" i="5"/>
  <c r="J124" i="47" l="1"/>
  <c r="F126" i="42"/>
  <c r="H126" i="42" s="1"/>
  <c r="G125" i="47"/>
  <c r="D126" i="47"/>
  <c r="J125" i="45"/>
  <c r="B127" i="46"/>
  <c r="F127" i="46"/>
  <c r="F126" i="45"/>
  <c r="H126" i="45" s="1"/>
  <c r="F129" i="44"/>
  <c r="H129" i="44" s="1"/>
  <c r="E131" i="25"/>
  <c r="F131" i="25" s="1"/>
  <c r="H131" i="25" s="1"/>
  <c r="E134" i="9"/>
  <c r="F134" i="9" s="1"/>
  <c r="H134" i="9" s="1"/>
  <c r="E135" i="10"/>
  <c r="F135" i="10" s="1"/>
  <c r="H135" i="10" s="1"/>
  <c r="E132" i="5"/>
  <c r="F132" i="5" s="1"/>
  <c r="H132" i="5" s="1"/>
  <c r="E128" i="27"/>
  <c r="E124" i="39"/>
  <c r="F124" i="39" s="1"/>
  <c r="H124" i="39" s="1"/>
  <c r="E124" i="43"/>
  <c r="F124" i="43" s="1"/>
  <c r="H124" i="43" s="1"/>
  <c r="E132" i="3"/>
  <c r="F132" i="3" s="1"/>
  <c r="H132" i="3" s="1"/>
  <c r="E133" i="6"/>
  <c r="F133" i="6" s="1"/>
  <c r="H133" i="6" s="1"/>
  <c r="E123" i="40"/>
  <c r="F123" i="40" s="1"/>
  <c r="H123" i="40" s="1"/>
  <c r="E127" i="28"/>
  <c r="F127" i="28" s="1"/>
  <c r="H127" i="28" s="1"/>
  <c r="D126" i="41"/>
  <c r="B126" i="41" s="1"/>
  <c r="H125" i="41"/>
  <c r="E127" i="31"/>
  <c r="F127" i="31" s="1"/>
  <c r="H127" i="31" s="1"/>
  <c r="E124" i="37"/>
  <c r="F124" i="37" s="1"/>
  <c r="H124" i="37" s="1"/>
  <c r="G125" i="41"/>
  <c r="I125" i="41" s="1"/>
  <c r="J128" i="44"/>
  <c r="G126" i="42"/>
  <c r="I126" i="42" s="1"/>
  <c r="E126" i="41"/>
  <c r="J125" i="42"/>
  <c r="E127" i="38"/>
  <c r="F127" i="38" s="1"/>
  <c r="H127" i="38" s="1"/>
  <c r="B127" i="38"/>
  <c r="B132" i="5"/>
  <c r="B124" i="37"/>
  <c r="B124" i="43"/>
  <c r="B133" i="6"/>
  <c r="B132" i="4"/>
  <c r="F132" i="4"/>
  <c r="H132" i="4" s="1"/>
  <c r="B131" i="22"/>
  <c r="F131" i="22"/>
  <c r="H131" i="22" s="1"/>
  <c r="I131" i="5"/>
  <c r="B133" i="8"/>
  <c r="F133" i="8"/>
  <c r="H133" i="8" s="1"/>
  <c r="B134" i="11"/>
  <c r="F134" i="11"/>
  <c r="H134" i="11" s="1"/>
  <c r="B130" i="23"/>
  <c r="F130" i="23"/>
  <c r="H130" i="23" s="1"/>
  <c r="B127" i="29"/>
  <c r="F127" i="29"/>
  <c r="H127" i="29" s="1"/>
  <c r="B126" i="30"/>
  <c r="F126" i="30"/>
  <c r="H126" i="30" s="1"/>
  <c r="B135" i="7"/>
  <c r="F135" i="7"/>
  <c r="H135" i="7" s="1"/>
  <c r="B129" i="24"/>
  <c r="F129" i="24"/>
  <c r="H129" i="24" s="1"/>
  <c r="I131" i="4"/>
  <c r="B124" i="39"/>
  <c r="B127" i="31"/>
  <c r="B132" i="3"/>
  <c r="B128" i="27"/>
  <c r="F128" i="27"/>
  <c r="H128" i="27" s="1"/>
  <c r="B123" i="40"/>
  <c r="B131" i="25"/>
  <c r="B134" i="9"/>
  <c r="I131" i="3"/>
  <c r="B135" i="10"/>
  <c r="B127" i="28"/>
  <c r="D127" i="42" l="1"/>
  <c r="E127" i="45"/>
  <c r="G126" i="45"/>
  <c r="I126" i="45" s="1"/>
  <c r="D127" i="45"/>
  <c r="F127" i="45" s="1"/>
  <c r="I125" i="47"/>
  <c r="H125" i="47"/>
  <c r="E126" i="47"/>
  <c r="F126" i="47" s="1"/>
  <c r="B126" i="47"/>
  <c r="G129" i="44"/>
  <c r="I129" i="44" s="1"/>
  <c r="D130" i="44"/>
  <c r="B130" i="44" s="1"/>
  <c r="G127" i="46"/>
  <c r="I127" i="46" s="1"/>
  <c r="E128" i="46"/>
  <c r="D128" i="46"/>
  <c r="H127" i="46"/>
  <c r="J126" i="45"/>
  <c r="F126" i="41"/>
  <c r="H126" i="41" s="1"/>
  <c r="B127" i="42"/>
  <c r="E130" i="44"/>
  <c r="J126" i="38"/>
  <c r="E127" i="42"/>
  <c r="F127" i="42" s="1"/>
  <c r="D128" i="42" s="1"/>
  <c r="G127" i="38"/>
  <c r="I127" i="38" s="1"/>
  <c r="D128" i="38"/>
  <c r="E128" i="38"/>
  <c r="J125" i="41"/>
  <c r="J125" i="30"/>
  <c r="J126" i="31"/>
  <c r="J123" i="43"/>
  <c r="J122" i="40"/>
  <c r="J131" i="4"/>
  <c r="J127" i="27"/>
  <c r="J134" i="7"/>
  <c r="J128" i="24"/>
  <c r="G127" i="28"/>
  <c r="I127" i="28" s="1"/>
  <c r="D128" i="28"/>
  <c r="G135" i="10"/>
  <c r="I135" i="10" s="1"/>
  <c r="D136" i="10"/>
  <c r="E136" i="10"/>
  <c r="J131" i="3"/>
  <c r="J123" i="37"/>
  <c r="G123" i="40"/>
  <c r="I123" i="40" s="1"/>
  <c r="D124" i="40"/>
  <c r="G128" i="27"/>
  <c r="I128" i="27" s="1"/>
  <c r="D129" i="27"/>
  <c r="G132" i="3"/>
  <c r="D133" i="3"/>
  <c r="E133" i="3"/>
  <c r="J129" i="23"/>
  <c r="J132" i="8"/>
  <c r="J123" i="39"/>
  <c r="J130" i="22"/>
  <c r="J155" i="22" s="1"/>
  <c r="G129" i="24"/>
  <c r="I129" i="24" s="1"/>
  <c r="D130" i="24"/>
  <c r="E130" i="24"/>
  <c r="G135" i="7"/>
  <c r="I135" i="7" s="1"/>
  <c r="D136" i="7"/>
  <c r="G130" i="23"/>
  <c r="I130" i="23" s="1"/>
  <c r="D131" i="23"/>
  <c r="E131" i="23"/>
  <c r="G133" i="8"/>
  <c r="I133" i="8" s="1"/>
  <c r="D134" i="8"/>
  <c r="E134" i="8"/>
  <c r="J126" i="28"/>
  <c r="G132" i="4"/>
  <c r="D133" i="4"/>
  <c r="E133" i="4"/>
  <c r="G133" i="6"/>
  <c r="I133" i="6" s="1"/>
  <c r="D134" i="6"/>
  <c r="E134" i="6"/>
  <c r="G124" i="43"/>
  <c r="I124" i="43" s="1"/>
  <c r="D125" i="43"/>
  <c r="G124" i="37"/>
  <c r="I124" i="37" s="1"/>
  <c r="D125" i="37"/>
  <c r="E125" i="37"/>
  <c r="G134" i="9"/>
  <c r="I134" i="9" s="1"/>
  <c r="D135" i="9"/>
  <c r="E135" i="9"/>
  <c r="D132" i="25"/>
  <c r="G131" i="25"/>
  <c r="I131" i="25" s="1"/>
  <c r="J126" i="29"/>
  <c r="G127" i="31"/>
  <c r="I127" i="31" s="1"/>
  <c r="D128" i="31"/>
  <c r="E128" i="31"/>
  <c r="G124" i="39"/>
  <c r="I124" i="39" s="1"/>
  <c r="D125" i="39"/>
  <c r="J132" i="6"/>
  <c r="G126" i="30"/>
  <c r="I126" i="30" s="1"/>
  <c r="D127" i="30"/>
  <c r="G127" i="29"/>
  <c r="I127" i="29" s="1"/>
  <c r="D128" i="29"/>
  <c r="E128" i="29"/>
  <c r="G134" i="11"/>
  <c r="I134" i="11" s="1"/>
  <c r="D135" i="11"/>
  <c r="E135" i="11"/>
  <c r="J131" i="5"/>
  <c r="G131" i="22"/>
  <c r="I131" i="22" s="1"/>
  <c r="D132" i="22"/>
  <c r="E132" i="22"/>
  <c r="J134" i="10"/>
  <c r="J130" i="25"/>
  <c r="G132" i="5"/>
  <c r="D133" i="5"/>
  <c r="E133" i="5"/>
  <c r="B127" i="45" l="1"/>
  <c r="D127" i="47"/>
  <c r="G126" i="47"/>
  <c r="E127" i="47"/>
  <c r="F130" i="44"/>
  <c r="H130" i="44" s="1"/>
  <c r="J125" i="47"/>
  <c r="B128" i="46"/>
  <c r="F128" i="46"/>
  <c r="H128" i="46" s="1"/>
  <c r="J127" i="46"/>
  <c r="D127" i="41"/>
  <c r="G126" i="41"/>
  <c r="I126" i="41" s="1"/>
  <c r="H127" i="45"/>
  <c r="D128" i="45"/>
  <c r="E128" i="45"/>
  <c r="G127" i="45"/>
  <c r="I127" i="45" s="1"/>
  <c r="E125" i="43"/>
  <c r="F125" i="43" s="1"/>
  <c r="H125" i="43" s="1"/>
  <c r="E128" i="28"/>
  <c r="F128" i="28" s="1"/>
  <c r="H128" i="28" s="1"/>
  <c r="B128" i="42"/>
  <c r="E132" i="25"/>
  <c r="F132" i="25" s="1"/>
  <c r="H132" i="25" s="1"/>
  <c r="E124" i="40"/>
  <c r="F124" i="40" s="1"/>
  <c r="H124" i="40" s="1"/>
  <c r="E125" i="39"/>
  <c r="F125" i="39" s="1"/>
  <c r="H125" i="39" s="1"/>
  <c r="H127" i="42"/>
  <c r="E127" i="30"/>
  <c r="F127" i="30" s="1"/>
  <c r="H127" i="30" s="1"/>
  <c r="E136" i="7"/>
  <c r="F136" i="7" s="1"/>
  <c r="H136" i="7" s="1"/>
  <c r="E129" i="27"/>
  <c r="F129" i="27" s="1"/>
  <c r="H129" i="27" s="1"/>
  <c r="B127" i="41"/>
  <c r="B128" i="38"/>
  <c r="J129" i="44"/>
  <c r="G127" i="42"/>
  <c r="I127" i="42" s="1"/>
  <c r="F128" i="38"/>
  <c r="G128" i="38" s="1"/>
  <c r="I128" i="38" s="1"/>
  <c r="E128" i="42"/>
  <c r="F128" i="42" s="1"/>
  <c r="H128" i="42" s="1"/>
  <c r="E127" i="41"/>
  <c r="F127" i="41" s="1"/>
  <c r="G127" i="41" s="1"/>
  <c r="I127" i="41" s="1"/>
  <c r="J126" i="42"/>
  <c r="I132" i="5"/>
  <c r="B135" i="11"/>
  <c r="F135" i="11"/>
  <c r="H135" i="11" s="1"/>
  <c r="B135" i="9"/>
  <c r="F135" i="9"/>
  <c r="H135" i="9" s="1"/>
  <c r="B133" i="4"/>
  <c r="F133" i="4"/>
  <c r="H133" i="4" s="1"/>
  <c r="B134" i="8"/>
  <c r="F134" i="8"/>
  <c r="H134" i="8" s="1"/>
  <c r="B133" i="3"/>
  <c r="F133" i="3"/>
  <c r="H133" i="3" s="1"/>
  <c r="B133" i="5"/>
  <c r="F133" i="5"/>
  <c r="H133" i="5" s="1"/>
  <c r="B132" i="22"/>
  <c r="F132" i="22"/>
  <c r="H132" i="22" s="1"/>
  <c r="B128" i="31"/>
  <c r="F128" i="31"/>
  <c r="H128" i="31" s="1"/>
  <c r="B134" i="6"/>
  <c r="F134" i="6"/>
  <c r="H134" i="6" s="1"/>
  <c r="I132" i="4"/>
  <c r="B130" i="24"/>
  <c r="F130" i="24"/>
  <c r="H130" i="24" s="1"/>
  <c r="I132" i="3"/>
  <c r="B127" i="30"/>
  <c r="B125" i="39"/>
  <c r="B132" i="25"/>
  <c r="B125" i="43"/>
  <c r="B136" i="7"/>
  <c r="B124" i="40"/>
  <c r="B128" i="28"/>
  <c r="B128" i="29"/>
  <c r="F128" i="29"/>
  <c r="H128" i="29" s="1"/>
  <c r="B125" i="37"/>
  <c r="F125" i="37"/>
  <c r="H125" i="37" s="1"/>
  <c r="B131" i="23"/>
  <c r="F131" i="23"/>
  <c r="H131" i="23" s="1"/>
  <c r="B129" i="27"/>
  <c r="B136" i="10"/>
  <c r="F136" i="10"/>
  <c r="H136" i="10" s="1"/>
  <c r="D131" i="44" l="1"/>
  <c r="G130" i="44"/>
  <c r="I130" i="44" s="1"/>
  <c r="H126" i="47"/>
  <c r="I126" i="47"/>
  <c r="J126" i="47" s="1"/>
  <c r="B127" i="47"/>
  <c r="F127" i="47"/>
  <c r="D129" i="46"/>
  <c r="E129" i="46"/>
  <c r="G128" i="46"/>
  <c r="I128" i="46" s="1"/>
  <c r="J128" i="46" s="1"/>
  <c r="J127" i="45"/>
  <c r="B128" i="45"/>
  <c r="F128" i="45"/>
  <c r="H128" i="38"/>
  <c r="H127" i="41"/>
  <c r="B131" i="44"/>
  <c r="E131" i="44"/>
  <c r="F131" i="44" s="1"/>
  <c r="H131" i="44" s="1"/>
  <c r="J127" i="42"/>
  <c r="D129" i="38"/>
  <c r="D129" i="42"/>
  <c r="G128" i="42"/>
  <c r="I128" i="42" s="1"/>
  <c r="D128" i="41"/>
  <c r="E129" i="42"/>
  <c r="J126" i="41"/>
  <c r="J127" i="38"/>
  <c r="J124" i="39"/>
  <c r="J132" i="4"/>
  <c r="J124" i="43"/>
  <c r="J132" i="3"/>
  <c r="J124" i="37"/>
  <c r="J127" i="29"/>
  <c r="J133" i="8"/>
  <c r="J127" i="28"/>
  <c r="J123" i="40"/>
  <c r="J135" i="7"/>
  <c r="G128" i="29"/>
  <c r="I128" i="29" s="1"/>
  <c r="D129" i="29"/>
  <c r="G124" i="40"/>
  <c r="I124" i="40" s="1"/>
  <c r="D125" i="40"/>
  <c r="G136" i="7"/>
  <c r="I136" i="7" s="1"/>
  <c r="D137" i="7"/>
  <c r="G125" i="43"/>
  <c r="I125" i="43" s="1"/>
  <c r="D126" i="43"/>
  <c r="E126" i="43"/>
  <c r="J127" i="31"/>
  <c r="G127" i="30"/>
  <c r="I127" i="30" s="1"/>
  <c r="D128" i="30"/>
  <c r="E128" i="30"/>
  <c r="G130" i="24"/>
  <c r="I130" i="24" s="1"/>
  <c r="D131" i="24"/>
  <c r="G128" i="31"/>
  <c r="I128" i="31" s="1"/>
  <c r="D129" i="31"/>
  <c r="E129" i="31"/>
  <c r="G133" i="5"/>
  <c r="D134" i="5"/>
  <c r="J128" i="27"/>
  <c r="J130" i="23"/>
  <c r="J155" i="23" s="1"/>
  <c r="G133" i="4"/>
  <c r="D134" i="4"/>
  <c r="E134" i="4"/>
  <c r="G135" i="9"/>
  <c r="I135" i="9" s="1"/>
  <c r="D136" i="9"/>
  <c r="D136" i="11"/>
  <c r="G135" i="11"/>
  <c r="I135" i="11" s="1"/>
  <c r="E136" i="11"/>
  <c r="G136" i="10"/>
  <c r="I136" i="10" s="1"/>
  <c r="D137" i="10"/>
  <c r="E137" i="10"/>
  <c r="G129" i="27"/>
  <c r="I129" i="27" s="1"/>
  <c r="D130" i="27"/>
  <c r="G131" i="23"/>
  <c r="I131" i="23" s="1"/>
  <c r="D132" i="23"/>
  <c r="G125" i="37"/>
  <c r="I125" i="37" s="1"/>
  <c r="D126" i="37"/>
  <c r="J126" i="30"/>
  <c r="G128" i="28"/>
  <c r="I128" i="28" s="1"/>
  <c r="D129" i="28"/>
  <c r="J129" i="24"/>
  <c r="J133" i="6"/>
  <c r="G132" i="25"/>
  <c r="I132" i="25" s="1"/>
  <c r="D133" i="25"/>
  <c r="G125" i="39"/>
  <c r="I125" i="39" s="1"/>
  <c r="D126" i="39"/>
  <c r="G134" i="6"/>
  <c r="I134" i="6" s="1"/>
  <c r="D135" i="6"/>
  <c r="E135" i="6"/>
  <c r="J131" i="25"/>
  <c r="G132" i="22"/>
  <c r="I132" i="22" s="1"/>
  <c r="D133" i="22"/>
  <c r="E133" i="22"/>
  <c r="J135" i="10"/>
  <c r="G133" i="3"/>
  <c r="D134" i="3"/>
  <c r="E134" i="3"/>
  <c r="G134" i="8"/>
  <c r="I134" i="8" s="1"/>
  <c r="D135" i="8"/>
  <c r="E135" i="8"/>
  <c r="J132" i="5"/>
  <c r="D128" i="47" l="1"/>
  <c r="G127" i="47"/>
  <c r="E128" i="47"/>
  <c r="F129" i="46"/>
  <c r="H129" i="46" s="1"/>
  <c r="B129" i="46"/>
  <c r="H128" i="45"/>
  <c r="D129" i="45"/>
  <c r="E129" i="45"/>
  <c r="G128" i="45"/>
  <c r="I128" i="45" s="1"/>
  <c r="E129" i="28"/>
  <c r="F129" i="28" s="1"/>
  <c r="H129" i="28" s="1"/>
  <c r="E137" i="7"/>
  <c r="F137" i="7" s="1"/>
  <c r="H137" i="7" s="1"/>
  <c r="E129" i="29"/>
  <c r="F129" i="29" s="1"/>
  <c r="H129" i="29" s="1"/>
  <c r="E132" i="23"/>
  <c r="F132" i="23" s="1"/>
  <c r="H132" i="23" s="1"/>
  <c r="B129" i="42"/>
  <c r="E126" i="39"/>
  <c r="E134" i="5"/>
  <c r="F134" i="5" s="1"/>
  <c r="H134" i="5" s="1"/>
  <c r="E125" i="40"/>
  <c r="F125" i="40" s="1"/>
  <c r="H125" i="40" s="1"/>
  <c r="E133" i="25"/>
  <c r="E130" i="27"/>
  <c r="E136" i="9"/>
  <c r="F136" i="9" s="1"/>
  <c r="H136" i="9" s="1"/>
  <c r="B128" i="41"/>
  <c r="E126" i="37"/>
  <c r="F126" i="37" s="1"/>
  <c r="H126" i="37" s="1"/>
  <c r="B129" i="38"/>
  <c r="E131" i="24"/>
  <c r="F131" i="24" s="1"/>
  <c r="H131" i="24" s="1"/>
  <c r="D132" i="44"/>
  <c r="G131" i="44"/>
  <c r="I131" i="44" s="1"/>
  <c r="J128" i="42"/>
  <c r="E129" i="38"/>
  <c r="F129" i="38" s="1"/>
  <c r="G129" i="38" s="1"/>
  <c r="I129" i="38" s="1"/>
  <c r="E128" i="41"/>
  <c r="F128" i="41" s="1"/>
  <c r="G128" i="41" s="1"/>
  <c r="I128" i="41" s="1"/>
  <c r="F129" i="42"/>
  <c r="G129" i="42" s="1"/>
  <c r="I129" i="42" s="1"/>
  <c r="J130" i="44"/>
  <c r="J155" i="44" s="1"/>
  <c r="E132" i="44"/>
  <c r="J128" i="38"/>
  <c r="J127" i="41"/>
  <c r="B135" i="8"/>
  <c r="F135" i="8"/>
  <c r="H135" i="8" s="1"/>
  <c r="I133" i="3"/>
  <c r="B130" i="27"/>
  <c r="F130" i="27"/>
  <c r="H130" i="27" s="1"/>
  <c r="B134" i="4"/>
  <c r="F134" i="4"/>
  <c r="H134" i="4" s="1"/>
  <c r="B129" i="31"/>
  <c r="F129" i="31"/>
  <c r="H129" i="31" s="1"/>
  <c r="B125" i="40"/>
  <c r="B133" i="25"/>
  <c r="F133" i="25"/>
  <c r="H133" i="25" s="1"/>
  <c r="B132" i="23"/>
  <c r="B136" i="9"/>
  <c r="I133" i="4"/>
  <c r="B134" i="5"/>
  <c r="B137" i="7"/>
  <c r="B126" i="39"/>
  <c r="F126" i="39"/>
  <c r="H126" i="39" s="1"/>
  <c r="B129" i="28"/>
  <c r="B126" i="37"/>
  <c r="I133" i="5"/>
  <c r="B128" i="30"/>
  <c r="F128" i="30"/>
  <c r="H128" i="30" s="1"/>
  <c r="B126" i="43"/>
  <c r="F126" i="43"/>
  <c r="H126" i="43" s="1"/>
  <c r="B134" i="3"/>
  <c r="F134" i="3"/>
  <c r="H134" i="3" s="1"/>
  <c r="B133" i="22"/>
  <c r="F133" i="22"/>
  <c r="H133" i="22" s="1"/>
  <c r="B135" i="6"/>
  <c r="F135" i="6"/>
  <c r="H135" i="6" s="1"/>
  <c r="B137" i="10"/>
  <c r="F137" i="10"/>
  <c r="H137" i="10" s="1"/>
  <c r="B136" i="11"/>
  <c r="F136" i="11"/>
  <c r="H136" i="11" s="1"/>
  <c r="B131" i="24"/>
  <c r="B129" i="29"/>
  <c r="H127" i="47" l="1"/>
  <c r="I127" i="47"/>
  <c r="J127" i="47" s="1"/>
  <c r="F128" i="47"/>
  <c r="B128" i="47"/>
  <c r="J128" i="45"/>
  <c r="E130" i="46"/>
  <c r="D130" i="46"/>
  <c r="G129" i="46"/>
  <c r="I129" i="46" s="1"/>
  <c r="J129" i="46" s="1"/>
  <c r="B129" i="45"/>
  <c r="F129" i="45"/>
  <c r="H129" i="42"/>
  <c r="H128" i="41"/>
  <c r="J128" i="41" s="1"/>
  <c r="B132" i="44"/>
  <c r="F132" i="44"/>
  <c r="H132" i="44" s="1"/>
  <c r="H129" i="38"/>
  <c r="D130" i="38"/>
  <c r="B130" i="38" s="1"/>
  <c r="D130" i="42"/>
  <c r="D129" i="41"/>
  <c r="E129" i="41"/>
  <c r="E130" i="42"/>
  <c r="E130" i="38"/>
  <c r="J136" i="10"/>
  <c r="J134" i="6"/>
  <c r="J133" i="3"/>
  <c r="J128" i="28"/>
  <c r="J133" i="5"/>
  <c r="J132" i="25"/>
  <c r="J155" i="25" s="1"/>
  <c r="J124" i="40"/>
  <c r="J128" i="31"/>
  <c r="J133" i="4"/>
  <c r="J129" i="27"/>
  <c r="J130" i="24"/>
  <c r="J155" i="24" s="1"/>
  <c r="G131" i="24"/>
  <c r="I131" i="24" s="1"/>
  <c r="D132" i="24"/>
  <c r="E132" i="24"/>
  <c r="D135" i="3"/>
  <c r="G134" i="3"/>
  <c r="G126" i="37"/>
  <c r="I126" i="37" s="1"/>
  <c r="D127" i="37"/>
  <c r="E127" i="37"/>
  <c r="G129" i="29"/>
  <c r="I129" i="29" s="1"/>
  <c r="D130" i="29"/>
  <c r="E130" i="29"/>
  <c r="J127" i="30"/>
  <c r="G136" i="11"/>
  <c r="I136" i="11" s="1"/>
  <c r="D137" i="11"/>
  <c r="E137" i="11"/>
  <c r="J125" i="37"/>
  <c r="J125" i="39"/>
  <c r="G133" i="22"/>
  <c r="I133" i="22" s="1"/>
  <c r="D134" i="22"/>
  <c r="E134" i="22"/>
  <c r="J136" i="7"/>
  <c r="G128" i="30"/>
  <c r="I128" i="30" s="1"/>
  <c r="D129" i="30"/>
  <c r="E129" i="30"/>
  <c r="G129" i="28"/>
  <c r="I129" i="28" s="1"/>
  <c r="D130" i="28"/>
  <c r="E130" i="28"/>
  <c r="G126" i="39"/>
  <c r="I126" i="39" s="1"/>
  <c r="D127" i="39"/>
  <c r="G137" i="7"/>
  <c r="I137" i="7" s="1"/>
  <c r="D138" i="7"/>
  <c r="G134" i="5"/>
  <c r="D135" i="5"/>
  <c r="G136" i="9"/>
  <c r="I136" i="9" s="1"/>
  <c r="D137" i="9"/>
  <c r="E137" i="9"/>
  <c r="G132" i="23"/>
  <c r="I132" i="23" s="1"/>
  <c r="D133" i="23"/>
  <c r="E133" i="23"/>
  <c r="J134" i="8"/>
  <c r="G125" i="40"/>
  <c r="I125" i="40" s="1"/>
  <c r="D126" i="40"/>
  <c r="E126" i="40"/>
  <c r="G129" i="31"/>
  <c r="I129" i="31" s="1"/>
  <c r="D130" i="31"/>
  <c r="G137" i="10"/>
  <c r="I137" i="10" s="1"/>
  <c r="D138" i="10"/>
  <c r="E138" i="10"/>
  <c r="G135" i="6"/>
  <c r="I135" i="6" s="1"/>
  <c r="D136" i="6"/>
  <c r="E136" i="6"/>
  <c r="G126" i="43"/>
  <c r="I126" i="43" s="1"/>
  <c r="D127" i="43"/>
  <c r="E127" i="43"/>
  <c r="G134" i="4"/>
  <c r="D135" i="4"/>
  <c r="G130" i="27"/>
  <c r="I130" i="27" s="1"/>
  <c r="D131" i="27"/>
  <c r="E131" i="27"/>
  <c r="G135" i="8"/>
  <c r="I135" i="8" s="1"/>
  <c r="D136" i="8"/>
  <c r="E136" i="8"/>
  <c r="G133" i="25"/>
  <c r="I133" i="25" s="1"/>
  <c r="D134" i="25"/>
  <c r="J125" i="43"/>
  <c r="J128" i="29"/>
  <c r="D129" i="47" l="1"/>
  <c r="G128" i="47"/>
  <c r="E129" i="47"/>
  <c r="F130" i="46"/>
  <c r="H130" i="46" s="1"/>
  <c r="B130" i="46"/>
  <c r="E133" i="44"/>
  <c r="H129" i="45"/>
  <c r="D130" i="45"/>
  <c r="G129" i="45"/>
  <c r="I129" i="45" s="1"/>
  <c r="E130" i="45"/>
  <c r="E135" i="5"/>
  <c r="E127" i="39"/>
  <c r="F127" i="39" s="1"/>
  <c r="H127" i="39" s="1"/>
  <c r="B130" i="42"/>
  <c r="E134" i="25"/>
  <c r="E135" i="4"/>
  <c r="F135" i="4" s="1"/>
  <c r="H135" i="4" s="1"/>
  <c r="E135" i="3"/>
  <c r="F135" i="3" s="1"/>
  <c r="H135" i="3" s="1"/>
  <c r="E138" i="7"/>
  <c r="F138" i="7" s="1"/>
  <c r="H138" i="7" s="1"/>
  <c r="B129" i="41"/>
  <c r="G132" i="44"/>
  <c r="I132" i="44" s="1"/>
  <c r="D133" i="44"/>
  <c r="E130" i="31"/>
  <c r="F130" i="31" s="1"/>
  <c r="H130" i="31" s="1"/>
  <c r="F130" i="38"/>
  <c r="H130" i="38" s="1"/>
  <c r="F130" i="42"/>
  <c r="G130" i="42" s="1"/>
  <c r="I130" i="42" s="1"/>
  <c r="F129" i="41"/>
  <c r="D130" i="41" s="1"/>
  <c r="J129" i="38"/>
  <c r="J129" i="42"/>
  <c r="I134" i="4"/>
  <c r="B138" i="10"/>
  <c r="F138" i="10"/>
  <c r="H138" i="10" s="1"/>
  <c r="B135" i="5"/>
  <c r="F135" i="5"/>
  <c r="H135" i="5" s="1"/>
  <c r="B129" i="30"/>
  <c r="F129" i="30"/>
  <c r="H129" i="30" s="1"/>
  <c r="B134" i="22"/>
  <c r="F134" i="22"/>
  <c r="H134" i="22" s="1"/>
  <c r="B127" i="37"/>
  <c r="F127" i="37"/>
  <c r="H127" i="37" s="1"/>
  <c r="B135" i="3"/>
  <c r="B136" i="8"/>
  <c r="F136" i="8"/>
  <c r="H136" i="8" s="1"/>
  <c r="B136" i="6"/>
  <c r="F136" i="6"/>
  <c r="H136" i="6" s="1"/>
  <c r="B137" i="9"/>
  <c r="F137" i="9"/>
  <c r="H137" i="9" s="1"/>
  <c r="I134" i="5"/>
  <c r="B130" i="28"/>
  <c r="F130" i="28"/>
  <c r="H130" i="28" s="1"/>
  <c r="B137" i="11"/>
  <c r="F137" i="11"/>
  <c r="H137" i="11" s="1"/>
  <c r="B130" i="29"/>
  <c r="F130" i="29"/>
  <c r="H130" i="29" s="1"/>
  <c r="B127" i="43"/>
  <c r="F127" i="43"/>
  <c r="H127" i="43" s="1"/>
  <c r="B126" i="40"/>
  <c r="F126" i="40"/>
  <c r="H126" i="40" s="1"/>
  <c r="B133" i="23"/>
  <c r="F133" i="23"/>
  <c r="H133" i="23" s="1"/>
  <c r="B127" i="39"/>
  <c r="B132" i="24"/>
  <c r="F132" i="24"/>
  <c r="H132" i="24" s="1"/>
  <c r="B131" i="27"/>
  <c r="F131" i="27"/>
  <c r="H131" i="27" s="1"/>
  <c r="B134" i="25"/>
  <c r="F134" i="25"/>
  <c r="H134" i="25" s="1"/>
  <c r="B135" i="4"/>
  <c r="B130" i="31"/>
  <c r="B138" i="7"/>
  <c r="I134" i="3"/>
  <c r="J129" i="45" l="1"/>
  <c r="H128" i="47"/>
  <c r="I128" i="47"/>
  <c r="F129" i="47"/>
  <c r="B129" i="47"/>
  <c r="E131" i="46"/>
  <c r="G130" i="46"/>
  <c r="I130" i="46" s="1"/>
  <c r="J130" i="46" s="1"/>
  <c r="J155" i="46" s="1"/>
  <c r="D131" i="46"/>
  <c r="F133" i="44"/>
  <c r="D134" i="44" s="1"/>
  <c r="B134" i="44" s="1"/>
  <c r="D131" i="38"/>
  <c r="B131" i="38" s="1"/>
  <c r="H130" i="42"/>
  <c r="F130" i="45"/>
  <c r="B130" i="45"/>
  <c r="B130" i="41"/>
  <c r="H129" i="41"/>
  <c r="B133" i="44"/>
  <c r="H133" i="44"/>
  <c r="E131" i="42"/>
  <c r="D131" i="42"/>
  <c r="G130" i="38"/>
  <c r="I130" i="38" s="1"/>
  <c r="G129" i="41"/>
  <c r="I129" i="41" s="1"/>
  <c r="E130" i="41"/>
  <c r="F130" i="41" s="1"/>
  <c r="D131" i="41" s="1"/>
  <c r="E131" i="38"/>
  <c r="J137" i="7"/>
  <c r="J125" i="40"/>
  <c r="J128" i="30"/>
  <c r="J134" i="5"/>
  <c r="J126" i="39"/>
  <c r="G130" i="31"/>
  <c r="I130" i="31" s="1"/>
  <c r="D131" i="31"/>
  <c r="G135" i="4"/>
  <c r="D136" i="4"/>
  <c r="G134" i="25"/>
  <c r="I134" i="25" s="1"/>
  <c r="D135" i="25"/>
  <c r="D133" i="24"/>
  <c r="G132" i="24"/>
  <c r="I132" i="24" s="1"/>
  <c r="E133" i="24"/>
  <c r="G127" i="39"/>
  <c r="I127" i="39" s="1"/>
  <c r="D128" i="39"/>
  <c r="G133" i="23"/>
  <c r="I133" i="23" s="1"/>
  <c r="D134" i="23"/>
  <c r="E134" i="23"/>
  <c r="J135" i="6"/>
  <c r="J135" i="8"/>
  <c r="G130" i="29"/>
  <c r="I130" i="29" s="1"/>
  <c r="D131" i="29"/>
  <c r="G130" i="28"/>
  <c r="I130" i="28" s="1"/>
  <c r="D131" i="28"/>
  <c r="E131" i="28"/>
  <c r="D138" i="9"/>
  <c r="G137" i="9"/>
  <c r="I137" i="9" s="1"/>
  <c r="G136" i="6"/>
  <c r="I136" i="6" s="1"/>
  <c r="D137" i="6"/>
  <c r="E137" i="6"/>
  <c r="G136" i="8"/>
  <c r="I136" i="8" s="1"/>
  <c r="D137" i="8"/>
  <c r="G127" i="37"/>
  <c r="I127" i="37" s="1"/>
  <c r="D128" i="37"/>
  <c r="G129" i="30"/>
  <c r="I129" i="30" s="1"/>
  <c r="D130" i="30"/>
  <c r="G135" i="5"/>
  <c r="D136" i="5"/>
  <c r="G138" i="10"/>
  <c r="I138" i="10" s="1"/>
  <c r="D139" i="10"/>
  <c r="J134" i="3"/>
  <c r="G138" i="7"/>
  <c r="I138" i="7" s="1"/>
  <c r="D139" i="7"/>
  <c r="J126" i="43"/>
  <c r="G131" i="27"/>
  <c r="I131" i="27" s="1"/>
  <c r="D132" i="27"/>
  <c r="J129" i="29"/>
  <c r="J129" i="28"/>
  <c r="G126" i="40"/>
  <c r="I126" i="40" s="1"/>
  <c r="D127" i="40"/>
  <c r="E127" i="40"/>
  <c r="G127" i="43"/>
  <c r="I127" i="43" s="1"/>
  <c r="D128" i="43"/>
  <c r="D138" i="11"/>
  <c r="G137" i="11"/>
  <c r="I137" i="11" s="1"/>
  <c r="J130" i="27"/>
  <c r="G135" i="3"/>
  <c r="D136" i="3"/>
  <c r="E136" i="3"/>
  <c r="G134" i="22"/>
  <c r="I134" i="22" s="1"/>
  <c r="D135" i="22"/>
  <c r="J126" i="37"/>
  <c r="J137" i="10"/>
  <c r="J129" i="31"/>
  <c r="J134" i="4"/>
  <c r="J128" i="47" l="1"/>
  <c r="D130" i="47"/>
  <c r="G129" i="47"/>
  <c r="E130" i="47"/>
  <c r="G133" i="44"/>
  <c r="I133" i="44" s="1"/>
  <c r="F131" i="46"/>
  <c r="H131" i="46" s="1"/>
  <c r="B131" i="46"/>
  <c r="E134" i="44"/>
  <c r="F134" i="44" s="1"/>
  <c r="D135" i="44" s="1"/>
  <c r="B135" i="44" s="1"/>
  <c r="F131" i="38"/>
  <c r="H131" i="38" s="1"/>
  <c r="G130" i="45"/>
  <c r="I130" i="45" s="1"/>
  <c r="D131" i="45"/>
  <c r="E131" i="45"/>
  <c r="H130" i="45"/>
  <c r="H130" i="41"/>
  <c r="E137" i="8"/>
  <c r="F137" i="8" s="1"/>
  <c r="H137" i="8" s="1"/>
  <c r="E136" i="4"/>
  <c r="F136" i="4" s="1"/>
  <c r="H136" i="4" s="1"/>
  <c r="E139" i="7"/>
  <c r="F139" i="7" s="1"/>
  <c r="H139" i="7" s="1"/>
  <c r="E128" i="39"/>
  <c r="F128" i="39" s="1"/>
  <c r="H128" i="39" s="1"/>
  <c r="B131" i="42"/>
  <c r="E130" i="30"/>
  <c r="F130" i="30" s="1"/>
  <c r="H130" i="30" s="1"/>
  <c r="E138" i="11"/>
  <c r="F138" i="11" s="1"/>
  <c r="H138" i="11" s="1"/>
  <c r="E132" i="27"/>
  <c r="F132" i="27" s="1"/>
  <c r="H132" i="27" s="1"/>
  <c r="E136" i="5"/>
  <c r="E138" i="9"/>
  <c r="F138" i="9" s="1"/>
  <c r="H138" i="9" s="1"/>
  <c r="E131" i="29"/>
  <c r="F131" i="29" s="1"/>
  <c r="H131" i="29" s="1"/>
  <c r="E135" i="25"/>
  <c r="F135" i="25" s="1"/>
  <c r="H135" i="25" s="1"/>
  <c r="E139" i="10"/>
  <c r="F139" i="10" s="1"/>
  <c r="H139" i="10" s="1"/>
  <c r="E135" i="22"/>
  <c r="F135" i="22" s="1"/>
  <c r="H135" i="22" s="1"/>
  <c r="E128" i="43"/>
  <c r="F128" i="43" s="1"/>
  <c r="H128" i="43" s="1"/>
  <c r="B131" i="41"/>
  <c r="F131" i="42"/>
  <c r="H131" i="42" s="1"/>
  <c r="E131" i="31"/>
  <c r="F131" i="31" s="1"/>
  <c r="H131" i="31" s="1"/>
  <c r="E128" i="37"/>
  <c r="F128" i="37" s="1"/>
  <c r="H128" i="37" s="1"/>
  <c r="E131" i="41"/>
  <c r="F131" i="41" s="1"/>
  <c r="D132" i="41" s="1"/>
  <c r="G130" i="41"/>
  <c r="I130" i="41" s="1"/>
  <c r="E135" i="44"/>
  <c r="J130" i="38"/>
  <c r="J155" i="38" s="1"/>
  <c r="J130" i="42"/>
  <c r="J155" i="42" s="1"/>
  <c r="B136" i="3"/>
  <c r="F136" i="3"/>
  <c r="H136" i="3" s="1"/>
  <c r="B128" i="37"/>
  <c r="B134" i="23"/>
  <c r="F134" i="23"/>
  <c r="H134" i="23" s="1"/>
  <c r="B135" i="22"/>
  <c r="I135" i="3"/>
  <c r="B130" i="30"/>
  <c r="B135" i="25"/>
  <c r="I135" i="4"/>
  <c r="B127" i="40"/>
  <c r="F127" i="40"/>
  <c r="H127" i="40" s="1"/>
  <c r="B136" i="5"/>
  <c r="F136" i="5"/>
  <c r="H136" i="5" s="1"/>
  <c r="B137" i="6"/>
  <c r="F137" i="6"/>
  <c r="H137" i="6" s="1"/>
  <c r="B138" i="9"/>
  <c r="B131" i="28"/>
  <c r="F131" i="28"/>
  <c r="H131" i="28" s="1"/>
  <c r="B136" i="4"/>
  <c r="B138" i="11"/>
  <c r="B128" i="43"/>
  <c r="B132" i="27"/>
  <c r="B139" i="7"/>
  <c r="B139" i="10"/>
  <c r="I135" i="5"/>
  <c r="B137" i="8"/>
  <c r="B131" i="29"/>
  <c r="B128" i="39"/>
  <c r="B133" i="24"/>
  <c r="F133" i="24"/>
  <c r="H133" i="24" s="1"/>
  <c r="B131" i="31"/>
  <c r="H129" i="47" l="1"/>
  <c r="I129" i="47"/>
  <c r="F130" i="47"/>
  <c r="B130" i="47"/>
  <c r="G131" i="46"/>
  <c r="I131" i="46" s="1"/>
  <c r="D132" i="46"/>
  <c r="E132" i="46"/>
  <c r="G134" i="44"/>
  <c r="I134" i="44" s="1"/>
  <c r="H134" i="44"/>
  <c r="F135" i="44"/>
  <c r="D136" i="44" s="1"/>
  <c r="B136" i="44" s="1"/>
  <c r="G131" i="38"/>
  <c r="I131" i="38" s="1"/>
  <c r="D132" i="38"/>
  <c r="B132" i="38" s="1"/>
  <c r="D132" i="42"/>
  <c r="G131" i="42"/>
  <c r="I131" i="42" s="1"/>
  <c r="B131" i="45"/>
  <c r="F131" i="45"/>
  <c r="H131" i="45" s="1"/>
  <c r="J130" i="45"/>
  <c r="J155" i="45" s="1"/>
  <c r="B132" i="41"/>
  <c r="H131" i="41"/>
  <c r="J129" i="41"/>
  <c r="E132" i="38"/>
  <c r="G131" i="41"/>
  <c r="I131" i="41" s="1"/>
  <c r="J130" i="41"/>
  <c r="E136" i="44"/>
  <c r="E132" i="41"/>
  <c r="F132" i="41" s="1"/>
  <c r="G132" i="41" s="1"/>
  <c r="I132" i="41" s="1"/>
  <c r="E132" i="42"/>
  <c r="B132" i="42"/>
  <c r="J127" i="43"/>
  <c r="J136" i="6"/>
  <c r="J126" i="40"/>
  <c r="J130" i="28"/>
  <c r="J138" i="7"/>
  <c r="J129" i="30"/>
  <c r="J127" i="39"/>
  <c r="G139" i="7"/>
  <c r="I139" i="7" s="1"/>
  <c r="D140" i="7"/>
  <c r="G138" i="11"/>
  <c r="I138" i="11" s="1"/>
  <c r="D139" i="11"/>
  <c r="G136" i="4"/>
  <c r="D137" i="4"/>
  <c r="E137" i="4"/>
  <c r="G131" i="28"/>
  <c r="I131" i="28" s="1"/>
  <c r="D132" i="28"/>
  <c r="E132" i="28"/>
  <c r="G138" i="9"/>
  <c r="I138" i="9" s="1"/>
  <c r="D139" i="9"/>
  <c r="G127" i="40"/>
  <c r="I127" i="40" s="1"/>
  <c r="D128" i="40"/>
  <c r="E128" i="40"/>
  <c r="G130" i="30"/>
  <c r="I130" i="30" s="1"/>
  <c r="D131" i="30"/>
  <c r="E131" i="30"/>
  <c r="G135" i="22"/>
  <c r="I135" i="22" s="1"/>
  <c r="D136" i="22"/>
  <c r="E136" i="22"/>
  <c r="G134" i="23"/>
  <c r="I134" i="23" s="1"/>
  <c r="D135" i="23"/>
  <c r="G128" i="37"/>
  <c r="I128" i="37" s="1"/>
  <c r="D129" i="37"/>
  <c r="E129" i="37"/>
  <c r="G131" i="31"/>
  <c r="I131" i="31" s="1"/>
  <c r="D132" i="31"/>
  <c r="E132" i="31"/>
  <c r="G128" i="39"/>
  <c r="I128" i="39" s="1"/>
  <c r="D129" i="39"/>
  <c r="J135" i="5"/>
  <c r="J135" i="4"/>
  <c r="G133" i="24"/>
  <c r="I133" i="24" s="1"/>
  <c r="D134" i="24"/>
  <c r="G131" i="29"/>
  <c r="I131" i="29" s="1"/>
  <c r="D132" i="29"/>
  <c r="G137" i="8"/>
  <c r="I137" i="8" s="1"/>
  <c r="D138" i="8"/>
  <c r="G139" i="10"/>
  <c r="I139" i="10" s="1"/>
  <c r="D140" i="10"/>
  <c r="G132" i="27"/>
  <c r="I132" i="27" s="1"/>
  <c r="D133" i="27"/>
  <c r="G128" i="43"/>
  <c r="I128" i="43" s="1"/>
  <c r="D129" i="43"/>
  <c r="E129" i="43"/>
  <c r="J127" i="37"/>
  <c r="J130" i="31"/>
  <c r="J130" i="29"/>
  <c r="J138" i="10"/>
  <c r="G137" i="6"/>
  <c r="I137" i="6" s="1"/>
  <c r="D138" i="6"/>
  <c r="G136" i="5"/>
  <c r="D137" i="5"/>
  <c r="G135" i="25"/>
  <c r="I135" i="25" s="1"/>
  <c r="D136" i="25"/>
  <c r="E136" i="25"/>
  <c r="J135" i="3"/>
  <c r="J136" i="8"/>
  <c r="J131" i="27"/>
  <c r="G136" i="3"/>
  <c r="D137" i="3"/>
  <c r="J129" i="47" l="1"/>
  <c r="H135" i="44"/>
  <c r="G135" i="44"/>
  <c r="I135" i="44" s="1"/>
  <c r="D131" i="47"/>
  <c r="G130" i="47"/>
  <c r="E131" i="47"/>
  <c r="F132" i="46"/>
  <c r="H132" i="46" s="1"/>
  <c r="B132" i="46"/>
  <c r="F136" i="44"/>
  <c r="H136" i="44" s="1"/>
  <c r="F132" i="38"/>
  <c r="D133" i="38" s="1"/>
  <c r="F132" i="42"/>
  <c r="H132" i="42" s="1"/>
  <c r="E132" i="45"/>
  <c r="D132" i="45"/>
  <c r="G131" i="45"/>
  <c r="I131" i="45" s="1"/>
  <c r="E140" i="10"/>
  <c r="F140" i="10" s="1"/>
  <c r="H140" i="10" s="1"/>
  <c r="E132" i="29"/>
  <c r="F132" i="29" s="1"/>
  <c r="H132" i="29" s="1"/>
  <c r="E137" i="5"/>
  <c r="F137" i="5" s="1"/>
  <c r="H137" i="5" s="1"/>
  <c r="E140" i="7"/>
  <c r="F140" i="7" s="1"/>
  <c r="H140" i="7" s="1"/>
  <c r="E138" i="6"/>
  <c r="F138" i="6" s="1"/>
  <c r="H138" i="6" s="1"/>
  <c r="E139" i="9"/>
  <c r="F139" i="9" s="1"/>
  <c r="H139" i="9" s="1"/>
  <c r="E139" i="11"/>
  <c r="F139" i="11" s="1"/>
  <c r="H139" i="11" s="1"/>
  <c r="E137" i="3"/>
  <c r="F137" i="3" s="1"/>
  <c r="H137" i="3" s="1"/>
  <c r="E133" i="27"/>
  <c r="F133" i="27" s="1"/>
  <c r="H133" i="27" s="1"/>
  <c r="E138" i="8"/>
  <c r="F138" i="8" s="1"/>
  <c r="H138" i="8" s="1"/>
  <c r="E129" i="39"/>
  <c r="F129" i="39" s="1"/>
  <c r="H129" i="39" s="1"/>
  <c r="E135" i="23"/>
  <c r="F135" i="23" s="1"/>
  <c r="H135" i="23" s="1"/>
  <c r="H132" i="41"/>
  <c r="J155" i="41"/>
  <c r="E134" i="24"/>
  <c r="F134" i="24" s="1"/>
  <c r="H134" i="24" s="1"/>
  <c r="G132" i="38"/>
  <c r="I132" i="38" s="1"/>
  <c r="G136" i="44"/>
  <c r="I136" i="44" s="1"/>
  <c r="D133" i="41"/>
  <c r="E133" i="38"/>
  <c r="F133" i="38" s="1"/>
  <c r="H133" i="38" s="1"/>
  <c r="B133" i="38"/>
  <c r="E133" i="41"/>
  <c r="B136" i="25"/>
  <c r="F136" i="25"/>
  <c r="H136" i="25" s="1"/>
  <c r="I136" i="5"/>
  <c r="B133" i="27"/>
  <c r="B134" i="24"/>
  <c r="B132" i="31"/>
  <c r="F132" i="31"/>
  <c r="H132" i="31" s="1"/>
  <c r="B131" i="30"/>
  <c r="F131" i="30"/>
  <c r="H131" i="30" s="1"/>
  <c r="B137" i="4"/>
  <c r="F137" i="4"/>
  <c r="H137" i="4" s="1"/>
  <c r="B129" i="43"/>
  <c r="F129" i="43"/>
  <c r="H129" i="43" s="1"/>
  <c r="B132" i="29"/>
  <c r="B129" i="39"/>
  <c r="B136" i="22"/>
  <c r="F136" i="22"/>
  <c r="H136" i="22" s="1"/>
  <c r="B132" i="28"/>
  <c r="F132" i="28"/>
  <c r="H132" i="28" s="1"/>
  <c r="I136" i="4"/>
  <c r="B138" i="6"/>
  <c r="B138" i="8"/>
  <c r="B135" i="23"/>
  <c r="B139" i="9"/>
  <c r="B140" i="7"/>
  <c r="B137" i="3"/>
  <c r="I136" i="3"/>
  <c r="B137" i="5"/>
  <c r="B140" i="10"/>
  <c r="B129" i="37"/>
  <c r="F129" i="37"/>
  <c r="H129" i="37" s="1"/>
  <c r="B128" i="40"/>
  <c r="F128" i="40"/>
  <c r="H128" i="40" s="1"/>
  <c r="B139" i="11"/>
  <c r="B131" i="47" l="1"/>
  <c r="F131" i="47"/>
  <c r="D133" i="42"/>
  <c r="B133" i="42" s="1"/>
  <c r="H132" i="38"/>
  <c r="H130" i="47"/>
  <c r="I130" i="47"/>
  <c r="D137" i="44"/>
  <c r="B137" i="44" s="1"/>
  <c r="G132" i="46"/>
  <c r="I132" i="46" s="1"/>
  <c r="E133" i="46"/>
  <c r="D133" i="46"/>
  <c r="G132" i="42"/>
  <c r="I132" i="42" s="1"/>
  <c r="F132" i="45"/>
  <c r="H132" i="45" s="1"/>
  <c r="B132" i="45"/>
  <c r="B133" i="41"/>
  <c r="F133" i="41"/>
  <c r="G133" i="41" s="1"/>
  <c r="I133" i="41" s="1"/>
  <c r="E137" i="44"/>
  <c r="D134" i="38"/>
  <c r="G133" i="38"/>
  <c r="I133" i="38" s="1"/>
  <c r="E133" i="42"/>
  <c r="J131" i="29"/>
  <c r="J128" i="43"/>
  <c r="J130" i="30"/>
  <c r="J131" i="31"/>
  <c r="J131" i="28"/>
  <c r="J132" i="27"/>
  <c r="J139" i="7"/>
  <c r="J137" i="8"/>
  <c r="J137" i="6"/>
  <c r="J136" i="3"/>
  <c r="D141" i="7"/>
  <c r="G140" i="7"/>
  <c r="I140" i="7" s="1"/>
  <c r="G139" i="9"/>
  <c r="I139" i="9" s="1"/>
  <c r="D140" i="9"/>
  <c r="G135" i="23"/>
  <c r="I135" i="23" s="1"/>
  <c r="D136" i="23"/>
  <c r="E136" i="23"/>
  <c r="J136" i="4"/>
  <c r="G137" i="4"/>
  <c r="D138" i="4"/>
  <c r="E138" i="4"/>
  <c r="G131" i="30"/>
  <c r="I131" i="30" s="1"/>
  <c r="D132" i="30"/>
  <c r="E132" i="30"/>
  <c r="G132" i="31"/>
  <c r="I132" i="31" s="1"/>
  <c r="D133" i="31"/>
  <c r="J139" i="10"/>
  <c r="J136" i="5"/>
  <c r="G139" i="11"/>
  <c r="I139" i="11" s="1"/>
  <c r="D140" i="11"/>
  <c r="E140" i="11"/>
  <c r="G128" i="40"/>
  <c r="I128" i="40" s="1"/>
  <c r="D129" i="40"/>
  <c r="G129" i="37"/>
  <c r="I129" i="37" s="1"/>
  <c r="D130" i="37"/>
  <c r="G140" i="10"/>
  <c r="I140" i="10" s="1"/>
  <c r="D141" i="10"/>
  <c r="G137" i="5"/>
  <c r="D138" i="5"/>
  <c r="E138" i="5"/>
  <c r="G137" i="3"/>
  <c r="D138" i="3"/>
  <c r="J128" i="39"/>
  <c r="G138" i="8"/>
  <c r="I138" i="8" s="1"/>
  <c r="D139" i="8"/>
  <c r="G138" i="6"/>
  <c r="I138" i="6" s="1"/>
  <c r="D139" i="6"/>
  <c r="G132" i="28"/>
  <c r="I132" i="28" s="1"/>
  <c r="D133" i="28"/>
  <c r="E133" i="28"/>
  <c r="G136" i="22"/>
  <c r="I136" i="22" s="1"/>
  <c r="D137" i="22"/>
  <c r="G129" i="39"/>
  <c r="I129" i="39" s="1"/>
  <c r="D130" i="39"/>
  <c r="G132" i="29"/>
  <c r="I132" i="29" s="1"/>
  <c r="D133" i="29"/>
  <c r="G129" i="43"/>
  <c r="I129" i="43" s="1"/>
  <c r="D130" i="43"/>
  <c r="E130" i="43"/>
  <c r="J127" i="40"/>
  <c r="J128" i="37"/>
  <c r="G134" i="24"/>
  <c r="I134" i="24" s="1"/>
  <c r="D135" i="24"/>
  <c r="G133" i="27"/>
  <c r="I133" i="27" s="1"/>
  <c r="D134" i="27"/>
  <c r="E134" i="27"/>
  <c r="G136" i="25"/>
  <c r="I136" i="25" s="1"/>
  <c r="D137" i="25"/>
  <c r="E137" i="25"/>
  <c r="J130" i="47" l="1"/>
  <c r="J155" i="47" s="1"/>
  <c r="D132" i="47"/>
  <c r="G131" i="47"/>
  <c r="E132" i="47"/>
  <c r="F133" i="42"/>
  <c r="H133" i="42" s="1"/>
  <c r="F137" i="44"/>
  <c r="H137" i="44" s="1"/>
  <c r="B133" i="46"/>
  <c r="F133" i="46"/>
  <c r="H133" i="46" s="1"/>
  <c r="G132" i="45"/>
  <c r="I132" i="45" s="1"/>
  <c r="D133" i="45"/>
  <c r="E133" i="45"/>
  <c r="E139" i="6"/>
  <c r="F139" i="6" s="1"/>
  <c r="H139" i="6" s="1"/>
  <c r="E130" i="39"/>
  <c r="F130" i="39" s="1"/>
  <c r="H130" i="39" s="1"/>
  <c r="E138" i="3"/>
  <c r="E140" i="9"/>
  <c r="F140" i="9" s="1"/>
  <c r="H140" i="9" s="1"/>
  <c r="E141" i="7"/>
  <c r="F141" i="7" s="1"/>
  <c r="H141" i="7" s="1"/>
  <c r="E139" i="8"/>
  <c r="F139" i="8" s="1"/>
  <c r="H139" i="8" s="1"/>
  <c r="E141" i="10"/>
  <c r="F141" i="10" s="1"/>
  <c r="H141" i="10" s="1"/>
  <c r="E129" i="40"/>
  <c r="F129" i="40" s="1"/>
  <c r="H129" i="40" s="1"/>
  <c r="E133" i="29"/>
  <c r="F133" i="29" s="1"/>
  <c r="H133" i="29" s="1"/>
  <c r="E137" i="22"/>
  <c r="F137" i="22" s="1"/>
  <c r="H137" i="22" s="1"/>
  <c r="H133" i="41"/>
  <c r="E133" i="31"/>
  <c r="F133" i="31" s="1"/>
  <c r="H133" i="31" s="1"/>
  <c r="E130" i="37"/>
  <c r="F130" i="37" s="1"/>
  <c r="H130" i="37" s="1"/>
  <c r="E135" i="24"/>
  <c r="F135" i="24" s="1"/>
  <c r="H135" i="24" s="1"/>
  <c r="D134" i="41"/>
  <c r="D138" i="44"/>
  <c r="G137" i="44"/>
  <c r="I137" i="44" s="1"/>
  <c r="G133" i="42"/>
  <c r="I133" i="42" s="1"/>
  <c r="E134" i="41"/>
  <c r="E134" i="38"/>
  <c r="F134" i="38" s="1"/>
  <c r="H134" i="38" s="1"/>
  <c r="B134" i="38"/>
  <c r="B130" i="43"/>
  <c r="F130" i="43"/>
  <c r="H130" i="43" s="1"/>
  <c r="B133" i="28"/>
  <c r="F133" i="28"/>
  <c r="H133" i="28" s="1"/>
  <c r="B141" i="10"/>
  <c r="B138" i="4"/>
  <c r="F138" i="4"/>
  <c r="H138" i="4" s="1"/>
  <c r="B136" i="23"/>
  <c r="F136" i="23"/>
  <c r="H136" i="23" s="1"/>
  <c r="B134" i="27"/>
  <c r="F134" i="27"/>
  <c r="H134" i="27" s="1"/>
  <c r="B137" i="25"/>
  <c r="F137" i="25"/>
  <c r="H137" i="25" s="1"/>
  <c r="B137" i="22"/>
  <c r="B138" i="5"/>
  <c r="F138" i="5"/>
  <c r="H138" i="5" s="1"/>
  <c r="B140" i="11"/>
  <c r="F140" i="11"/>
  <c r="H140" i="11" s="1"/>
  <c r="B132" i="30"/>
  <c r="F132" i="30"/>
  <c r="H132" i="30" s="1"/>
  <c r="I137" i="4"/>
  <c r="B130" i="39"/>
  <c r="B139" i="8"/>
  <c r="B138" i="3"/>
  <c r="F138" i="3"/>
  <c r="H138" i="3" s="1"/>
  <c r="I137" i="5"/>
  <c r="B129" i="40"/>
  <c r="B133" i="31"/>
  <c r="B135" i="24"/>
  <c r="B133" i="29"/>
  <c r="B139" i="6"/>
  <c r="I137" i="3"/>
  <c r="B130" i="37"/>
  <c r="B140" i="9"/>
  <c r="B141" i="7"/>
  <c r="D134" i="42" l="1"/>
  <c r="I131" i="47"/>
  <c r="H131" i="47"/>
  <c r="B132" i="47"/>
  <c r="F132" i="47"/>
  <c r="D134" i="46"/>
  <c r="E134" i="46"/>
  <c r="G133" i="46"/>
  <c r="I133" i="46" s="1"/>
  <c r="F133" i="45"/>
  <c r="H133" i="45" s="1"/>
  <c r="B133" i="45"/>
  <c r="B134" i="41"/>
  <c r="B138" i="44"/>
  <c r="F134" i="41"/>
  <c r="H134" i="41" s="1"/>
  <c r="E138" i="44"/>
  <c r="F138" i="44" s="1"/>
  <c r="E139" i="44" s="1"/>
  <c r="D135" i="38"/>
  <c r="G134" i="38"/>
  <c r="I134" i="38" s="1"/>
  <c r="E134" i="42"/>
  <c r="F134" i="42" s="1"/>
  <c r="H134" i="42" s="1"/>
  <c r="B134" i="42"/>
  <c r="J129" i="37"/>
  <c r="J138" i="6"/>
  <c r="J132" i="29"/>
  <c r="J129" i="43"/>
  <c r="G141" i="7"/>
  <c r="I141" i="7" s="1"/>
  <c r="D142" i="7"/>
  <c r="J132" i="31"/>
  <c r="G130" i="37"/>
  <c r="I130" i="37" s="1"/>
  <c r="D131" i="37"/>
  <c r="J138" i="8"/>
  <c r="J129" i="39"/>
  <c r="G135" i="24"/>
  <c r="I135" i="24" s="1"/>
  <c r="D136" i="24"/>
  <c r="J131" i="30"/>
  <c r="J137" i="5"/>
  <c r="G139" i="8"/>
  <c r="I139" i="8" s="1"/>
  <c r="D140" i="8"/>
  <c r="G130" i="39"/>
  <c r="I130" i="39" s="1"/>
  <c r="D131" i="39"/>
  <c r="J137" i="4"/>
  <c r="G140" i="11"/>
  <c r="I140" i="11" s="1"/>
  <c r="D141" i="11"/>
  <c r="G138" i="5"/>
  <c r="D139" i="5"/>
  <c r="G137" i="22"/>
  <c r="I137" i="22" s="1"/>
  <c r="D138" i="22"/>
  <c r="J133" i="27"/>
  <c r="G134" i="27"/>
  <c r="I134" i="27" s="1"/>
  <c r="D135" i="27"/>
  <c r="G136" i="23"/>
  <c r="I136" i="23" s="1"/>
  <c r="D137" i="23"/>
  <c r="E137" i="23"/>
  <c r="G140" i="9"/>
  <c r="I140" i="9" s="1"/>
  <c r="D141" i="9"/>
  <c r="J128" i="40"/>
  <c r="J137" i="3"/>
  <c r="G139" i="6"/>
  <c r="I139" i="6" s="1"/>
  <c r="D140" i="6"/>
  <c r="G133" i="29"/>
  <c r="I133" i="29" s="1"/>
  <c r="D134" i="29"/>
  <c r="J140" i="7"/>
  <c r="G133" i="31"/>
  <c r="I133" i="31" s="1"/>
  <c r="D134" i="31"/>
  <c r="G129" i="40"/>
  <c r="I129" i="40" s="1"/>
  <c r="D130" i="40"/>
  <c r="G138" i="3"/>
  <c r="D139" i="3"/>
  <c r="G132" i="30"/>
  <c r="I132" i="30" s="1"/>
  <c r="D133" i="30"/>
  <c r="J140" i="10"/>
  <c r="J132" i="28"/>
  <c r="G137" i="25"/>
  <c r="I137" i="25" s="1"/>
  <c r="D138" i="25"/>
  <c r="E138" i="25"/>
  <c r="G138" i="4"/>
  <c r="D139" i="4"/>
  <c r="G141" i="10"/>
  <c r="I141" i="10" s="1"/>
  <c r="D142" i="10"/>
  <c r="G133" i="28"/>
  <c r="I133" i="28" s="1"/>
  <c r="D134" i="28"/>
  <c r="E134" i="28"/>
  <c r="G130" i="43"/>
  <c r="I130" i="43" s="1"/>
  <c r="D131" i="43"/>
  <c r="D133" i="47" l="1"/>
  <c r="G132" i="47"/>
  <c r="E133" i="47"/>
  <c r="F134" i="46"/>
  <c r="H134" i="46" s="1"/>
  <c r="B134" i="46"/>
  <c r="D135" i="41"/>
  <c r="D134" i="45"/>
  <c r="B134" i="45" s="1"/>
  <c r="G133" i="45"/>
  <c r="I133" i="45" s="1"/>
  <c r="E134" i="45"/>
  <c r="E139" i="4"/>
  <c r="F139" i="4" s="1"/>
  <c r="H139" i="4" s="1"/>
  <c r="E134" i="29"/>
  <c r="F134" i="29" s="1"/>
  <c r="H134" i="29" s="1"/>
  <c r="E131" i="43"/>
  <c r="F131" i="43" s="1"/>
  <c r="H131" i="43" s="1"/>
  <c r="E139" i="3"/>
  <c r="F139" i="3" s="1"/>
  <c r="H139" i="3" s="1"/>
  <c r="E131" i="39"/>
  <c r="F131" i="39" s="1"/>
  <c r="H131" i="39" s="1"/>
  <c r="E139" i="5"/>
  <c r="F139" i="5" s="1"/>
  <c r="H139" i="5" s="1"/>
  <c r="E142" i="10"/>
  <c r="F142" i="10" s="1"/>
  <c r="H142" i="10" s="1"/>
  <c r="E140" i="6"/>
  <c r="F140" i="6" s="1"/>
  <c r="H140" i="6" s="1"/>
  <c r="E141" i="9"/>
  <c r="F141" i="9" s="1"/>
  <c r="H141" i="9" s="1"/>
  <c r="E138" i="22"/>
  <c r="F138" i="22" s="1"/>
  <c r="H138" i="22" s="1"/>
  <c r="E141" i="11"/>
  <c r="F141" i="11" s="1"/>
  <c r="H141" i="11" s="1"/>
  <c r="E142" i="7"/>
  <c r="F142" i="7" s="1"/>
  <c r="H142" i="7" s="1"/>
  <c r="E133" i="30"/>
  <c r="F133" i="30" s="1"/>
  <c r="H133" i="30" s="1"/>
  <c r="E130" i="40"/>
  <c r="F130" i="40" s="1"/>
  <c r="H130" i="40" s="1"/>
  <c r="E135" i="27"/>
  <c r="F135" i="27" s="1"/>
  <c r="H135" i="27" s="1"/>
  <c r="E140" i="8"/>
  <c r="F140" i="8" s="1"/>
  <c r="H140" i="8" s="1"/>
  <c r="G134" i="41"/>
  <c r="I134" i="41" s="1"/>
  <c r="G138" i="44"/>
  <c r="I138" i="44" s="1"/>
  <c r="H138" i="44"/>
  <c r="E134" i="31"/>
  <c r="F134" i="31" s="1"/>
  <c r="H134" i="31" s="1"/>
  <c r="E131" i="37"/>
  <c r="F131" i="37" s="1"/>
  <c r="H131" i="37" s="1"/>
  <c r="E136" i="24"/>
  <c r="F136" i="24" s="1"/>
  <c r="H136" i="24" s="1"/>
  <c r="D139" i="44"/>
  <c r="D135" i="42"/>
  <c r="G134" i="42"/>
  <c r="I134" i="42" s="1"/>
  <c r="E135" i="38"/>
  <c r="F135" i="38" s="1"/>
  <c r="H135" i="38" s="1"/>
  <c r="B135" i="38"/>
  <c r="E135" i="41"/>
  <c r="B135" i="41"/>
  <c r="B139" i="4"/>
  <c r="B133" i="30"/>
  <c r="I138" i="3"/>
  <c r="B140" i="6"/>
  <c r="B137" i="23"/>
  <c r="F137" i="23"/>
  <c r="H137" i="23" s="1"/>
  <c r="B140" i="8"/>
  <c r="B142" i="10"/>
  <c r="I138" i="4"/>
  <c r="B134" i="31"/>
  <c r="B134" i="29"/>
  <c r="B141" i="9"/>
  <c r="B141" i="11"/>
  <c r="B131" i="39"/>
  <c r="B136" i="24"/>
  <c r="B134" i="28"/>
  <c r="F134" i="28"/>
  <c r="H134" i="28" s="1"/>
  <c r="B130" i="40"/>
  <c r="B139" i="5"/>
  <c r="B131" i="37"/>
  <c r="B142" i="7"/>
  <c r="B131" i="43"/>
  <c r="B138" i="25"/>
  <c r="F138" i="25"/>
  <c r="H138" i="25" s="1"/>
  <c r="B139" i="3"/>
  <c r="B135" i="27"/>
  <c r="B138" i="22"/>
  <c r="I138" i="5"/>
  <c r="F135" i="41" l="1"/>
  <c r="H135" i="41" s="1"/>
  <c r="I132" i="47"/>
  <c r="H132" i="47"/>
  <c r="B133" i="47"/>
  <c r="F133" i="47"/>
  <c r="D135" i="46"/>
  <c r="G134" i="46"/>
  <c r="I134" i="46" s="1"/>
  <c r="E135" i="46"/>
  <c r="F134" i="45"/>
  <c r="E135" i="45" s="1"/>
  <c r="B139" i="44"/>
  <c r="F139" i="44"/>
  <c r="D140" i="44" s="1"/>
  <c r="G135" i="41"/>
  <c r="I135" i="41" s="1"/>
  <c r="E135" i="42"/>
  <c r="F135" i="42" s="1"/>
  <c r="H135" i="42" s="1"/>
  <c r="B135" i="42"/>
  <c r="G135" i="38"/>
  <c r="I135" i="38" s="1"/>
  <c r="D136" i="38"/>
  <c r="J138" i="5"/>
  <c r="J133" i="28"/>
  <c r="J130" i="37"/>
  <c r="J155" i="37" s="1"/>
  <c r="J141" i="10"/>
  <c r="J139" i="6"/>
  <c r="J138" i="3"/>
  <c r="G138" i="22"/>
  <c r="I138" i="22" s="1"/>
  <c r="D139" i="22"/>
  <c r="G138" i="25"/>
  <c r="I138" i="25" s="1"/>
  <c r="D139" i="25"/>
  <c r="E139" i="25"/>
  <c r="G142" i="7"/>
  <c r="I142" i="7" s="1"/>
  <c r="D143" i="7"/>
  <c r="G136" i="24"/>
  <c r="I136" i="24" s="1"/>
  <c r="D137" i="24"/>
  <c r="G131" i="39"/>
  <c r="I131" i="39" s="1"/>
  <c r="D132" i="39"/>
  <c r="G134" i="31"/>
  <c r="I134" i="31" s="1"/>
  <c r="D135" i="31"/>
  <c r="G140" i="8"/>
  <c r="I140" i="8" s="1"/>
  <c r="D141" i="8"/>
  <c r="G140" i="6"/>
  <c r="I140" i="6" s="1"/>
  <c r="D141" i="6"/>
  <c r="G133" i="30"/>
  <c r="I133" i="30" s="1"/>
  <c r="D134" i="30"/>
  <c r="J138" i="4"/>
  <c r="J134" i="27"/>
  <c r="J141" i="7"/>
  <c r="G135" i="27"/>
  <c r="I135" i="27" s="1"/>
  <c r="D136" i="27"/>
  <c r="G139" i="3"/>
  <c r="D140" i="3"/>
  <c r="J130" i="43"/>
  <c r="J155" i="43" s="1"/>
  <c r="G131" i="37"/>
  <c r="I131" i="37" s="1"/>
  <c r="D132" i="37"/>
  <c r="J130" i="39"/>
  <c r="J155" i="39" s="1"/>
  <c r="G139" i="5"/>
  <c r="D140" i="5"/>
  <c r="J133" i="29"/>
  <c r="G130" i="40"/>
  <c r="I130" i="40" s="1"/>
  <c r="D131" i="40"/>
  <c r="G134" i="28"/>
  <c r="I134" i="28" s="1"/>
  <c r="D135" i="28"/>
  <c r="E135" i="28"/>
  <c r="J139" i="8"/>
  <c r="G141" i="11"/>
  <c r="I141" i="11" s="1"/>
  <c r="D142" i="11"/>
  <c r="E142" i="11"/>
  <c r="G141" i="9"/>
  <c r="I141" i="9" s="1"/>
  <c r="D142" i="9"/>
  <c r="G134" i="29"/>
  <c r="I134" i="29" s="1"/>
  <c r="D135" i="29"/>
  <c r="J132" i="30"/>
  <c r="G142" i="10"/>
  <c r="I142" i="10" s="1"/>
  <c r="D143" i="10"/>
  <c r="G137" i="23"/>
  <c r="I137" i="23" s="1"/>
  <c r="D138" i="23"/>
  <c r="G131" i="43"/>
  <c r="I131" i="43" s="1"/>
  <c r="D132" i="43"/>
  <c r="G139" i="4"/>
  <c r="D140" i="4"/>
  <c r="J129" i="40"/>
  <c r="J133" i="31"/>
  <c r="G133" i="47" l="1"/>
  <c r="D134" i="47"/>
  <c r="E134" i="47"/>
  <c r="D136" i="41"/>
  <c r="B136" i="41" s="1"/>
  <c r="B135" i="46"/>
  <c r="F135" i="46"/>
  <c r="H135" i="46" s="1"/>
  <c r="H134" i="45"/>
  <c r="G134" i="45"/>
  <c r="I134" i="45" s="1"/>
  <c r="D135" i="45"/>
  <c r="B135" i="45" s="1"/>
  <c r="E141" i="8"/>
  <c r="F141" i="8" s="1"/>
  <c r="H141" i="8" s="1"/>
  <c r="E140" i="3"/>
  <c r="E139" i="22"/>
  <c r="F139" i="22" s="1"/>
  <c r="H139" i="22" s="1"/>
  <c r="E140" i="4"/>
  <c r="F140" i="4" s="1"/>
  <c r="H140" i="4" s="1"/>
  <c r="E134" i="30"/>
  <c r="F134" i="30" s="1"/>
  <c r="H134" i="30" s="1"/>
  <c r="E132" i="39"/>
  <c r="F132" i="39" s="1"/>
  <c r="H132" i="39" s="1"/>
  <c r="E132" i="43"/>
  <c r="F132" i="43" s="1"/>
  <c r="H132" i="43" s="1"/>
  <c r="E141" i="6"/>
  <c r="F141" i="6" s="1"/>
  <c r="H141" i="6" s="1"/>
  <c r="E138" i="23"/>
  <c r="F138" i="23" s="1"/>
  <c r="H138" i="23" s="1"/>
  <c r="E131" i="40"/>
  <c r="F131" i="40" s="1"/>
  <c r="H131" i="40" s="1"/>
  <c r="E143" i="7"/>
  <c r="F143" i="7" s="1"/>
  <c r="H143" i="7" s="1"/>
  <c r="E135" i="29"/>
  <c r="F135" i="29" s="1"/>
  <c r="H135" i="29" s="1"/>
  <c r="E143" i="10"/>
  <c r="F143" i="10" s="1"/>
  <c r="H143" i="10" s="1"/>
  <c r="E142" i="9"/>
  <c r="F142" i="9" s="1"/>
  <c r="H142" i="9" s="1"/>
  <c r="E140" i="5"/>
  <c r="F140" i="5" s="1"/>
  <c r="H140" i="5" s="1"/>
  <c r="E136" i="27"/>
  <c r="F136" i="27" s="1"/>
  <c r="H136" i="27" s="1"/>
  <c r="G139" i="44"/>
  <c r="I139" i="44" s="1"/>
  <c r="B140" i="44"/>
  <c r="E140" i="44"/>
  <c r="F140" i="44" s="1"/>
  <c r="H140" i="44" s="1"/>
  <c r="H139" i="44"/>
  <c r="E135" i="31"/>
  <c r="F135" i="31" s="1"/>
  <c r="H135" i="31" s="1"/>
  <c r="E132" i="37"/>
  <c r="F132" i="37" s="1"/>
  <c r="H132" i="37" s="1"/>
  <c r="E137" i="24"/>
  <c r="F137" i="24" s="1"/>
  <c r="H137" i="24" s="1"/>
  <c r="G135" i="42"/>
  <c r="I135" i="42" s="1"/>
  <c r="D136" i="42"/>
  <c r="E136" i="38"/>
  <c r="F136" i="38" s="1"/>
  <c r="H136" i="38" s="1"/>
  <c r="B136" i="38"/>
  <c r="E136" i="41"/>
  <c r="B142" i="11"/>
  <c r="F142" i="11"/>
  <c r="H142" i="11" s="1"/>
  <c r="I139" i="5"/>
  <c r="I139" i="3"/>
  <c r="B140" i="4"/>
  <c r="B142" i="9"/>
  <c r="B135" i="31"/>
  <c r="B139" i="25"/>
  <c r="F139" i="25"/>
  <c r="H139" i="25" s="1"/>
  <c r="I139" i="4"/>
  <c r="B143" i="10"/>
  <c r="B135" i="29"/>
  <c r="B136" i="27"/>
  <c r="B141" i="8"/>
  <c r="B143" i="7"/>
  <c r="B132" i="43"/>
  <c r="B135" i="28"/>
  <c r="F135" i="28"/>
  <c r="H135" i="28" s="1"/>
  <c r="B134" i="30"/>
  <c r="B132" i="39"/>
  <c r="B139" i="22"/>
  <c r="B138" i="23"/>
  <c r="B131" i="40"/>
  <c r="B140" i="5"/>
  <c r="B132" i="37"/>
  <c r="B140" i="3"/>
  <c r="F140" i="3"/>
  <c r="H140" i="3" s="1"/>
  <c r="B141" i="6"/>
  <c r="B137" i="24"/>
  <c r="F136" i="41" l="1"/>
  <c r="H136" i="41" s="1"/>
  <c r="F134" i="47"/>
  <c r="B134" i="47"/>
  <c r="I133" i="47"/>
  <c r="H133" i="47"/>
  <c r="G135" i="46"/>
  <c r="I135" i="46" s="1"/>
  <c r="E136" i="46"/>
  <c r="D136" i="46"/>
  <c r="F135" i="45"/>
  <c r="H135" i="45" s="1"/>
  <c r="G135" i="45"/>
  <c r="I135" i="45" s="1"/>
  <c r="D141" i="44"/>
  <c r="G140" i="44"/>
  <c r="I140" i="44" s="1"/>
  <c r="G136" i="38"/>
  <c r="I136" i="38" s="1"/>
  <c r="D137" i="38"/>
  <c r="E136" i="42"/>
  <c r="F136" i="42" s="1"/>
  <c r="H136" i="42" s="1"/>
  <c r="B136" i="42"/>
  <c r="G136" i="41"/>
  <c r="I136" i="41" s="1"/>
  <c r="D137" i="41"/>
  <c r="J140" i="6"/>
  <c r="J130" i="40"/>
  <c r="J155" i="40" s="1"/>
  <c r="J133" i="30"/>
  <c r="G141" i="6"/>
  <c r="I141" i="6" s="1"/>
  <c r="D142" i="6"/>
  <c r="G141" i="8"/>
  <c r="I141" i="8" s="1"/>
  <c r="D142" i="8"/>
  <c r="J134" i="29"/>
  <c r="J142" i="7"/>
  <c r="J140" i="8"/>
  <c r="J135" i="27"/>
  <c r="G132" i="37"/>
  <c r="I132" i="37" s="1"/>
  <c r="D133" i="37"/>
  <c r="G131" i="40"/>
  <c r="I131" i="40" s="1"/>
  <c r="D132" i="40"/>
  <c r="J142" i="10"/>
  <c r="G139" i="22"/>
  <c r="I139" i="22" s="1"/>
  <c r="D140" i="22"/>
  <c r="G132" i="39"/>
  <c r="I132" i="39" s="1"/>
  <c r="D133" i="39"/>
  <c r="E133" i="39"/>
  <c r="G135" i="28"/>
  <c r="I135" i="28" s="1"/>
  <c r="D136" i="28"/>
  <c r="E136" i="28"/>
  <c r="J134" i="31"/>
  <c r="G136" i="27"/>
  <c r="I136" i="27" s="1"/>
  <c r="D137" i="27"/>
  <c r="E137" i="27"/>
  <c r="G135" i="29"/>
  <c r="I135" i="29" s="1"/>
  <c r="D136" i="29"/>
  <c r="J139" i="4"/>
  <c r="G139" i="25"/>
  <c r="I139" i="25" s="1"/>
  <c r="D140" i="25"/>
  <c r="J134" i="28"/>
  <c r="G140" i="4"/>
  <c r="D141" i="4"/>
  <c r="J139" i="3"/>
  <c r="J139" i="5"/>
  <c r="G142" i="11"/>
  <c r="I142" i="11" s="1"/>
  <c r="D143" i="11"/>
  <c r="G140" i="3"/>
  <c r="D141" i="3"/>
  <c r="G138" i="23"/>
  <c r="I138" i="23" s="1"/>
  <c r="D139" i="23"/>
  <c r="G143" i="7"/>
  <c r="I143" i="7" s="1"/>
  <c r="D144" i="7"/>
  <c r="D136" i="31"/>
  <c r="G135" i="31"/>
  <c r="I135" i="31" s="1"/>
  <c r="G132" i="43"/>
  <c r="I132" i="43" s="1"/>
  <c r="D133" i="43"/>
  <c r="G143" i="10"/>
  <c r="I143" i="10" s="1"/>
  <c r="D144" i="10"/>
  <c r="G142" i="9"/>
  <c r="I142" i="9" s="1"/>
  <c r="D143" i="9"/>
  <c r="G140" i="5"/>
  <c r="D141" i="5"/>
  <c r="G134" i="30"/>
  <c r="I134" i="30" s="1"/>
  <c r="D135" i="30"/>
  <c r="G137" i="24"/>
  <c r="I137" i="24" s="1"/>
  <c r="D138" i="24"/>
  <c r="E136" i="45" l="1"/>
  <c r="D135" i="47"/>
  <c r="G134" i="47"/>
  <c r="E135" i="47"/>
  <c r="B136" i="46"/>
  <c r="F136" i="46"/>
  <c r="H136" i="46" s="1"/>
  <c r="D136" i="45"/>
  <c r="B136" i="45" s="1"/>
  <c r="E141" i="5"/>
  <c r="F141" i="5" s="1"/>
  <c r="H141" i="5" s="1"/>
  <c r="E141" i="4"/>
  <c r="F141" i="4" s="1"/>
  <c r="H141" i="4" s="1"/>
  <c r="E132" i="40"/>
  <c r="F132" i="40" s="1"/>
  <c r="H132" i="40" s="1"/>
  <c r="E142" i="8"/>
  <c r="F142" i="8" s="1"/>
  <c r="H142" i="8" s="1"/>
  <c r="E144" i="10"/>
  <c r="F144" i="10" s="1"/>
  <c r="H144" i="10" s="1"/>
  <c r="E143" i="11"/>
  <c r="F143" i="11" s="1"/>
  <c r="H143" i="11" s="1"/>
  <c r="E143" i="9"/>
  <c r="F143" i="9" s="1"/>
  <c r="H143" i="9" s="1"/>
  <c r="E144" i="7"/>
  <c r="E141" i="3"/>
  <c r="E136" i="29"/>
  <c r="F136" i="29" s="1"/>
  <c r="H136" i="29" s="1"/>
  <c r="E140" i="22"/>
  <c r="F140" i="22" s="1"/>
  <c r="H140" i="22" s="1"/>
  <c r="E139" i="23"/>
  <c r="F139" i="23" s="1"/>
  <c r="H139" i="23" s="1"/>
  <c r="E135" i="30"/>
  <c r="F135" i="30" s="1"/>
  <c r="H135" i="30" s="1"/>
  <c r="E133" i="43"/>
  <c r="F133" i="43" s="1"/>
  <c r="H133" i="43" s="1"/>
  <c r="E140" i="25"/>
  <c r="F140" i="25" s="1"/>
  <c r="H140" i="25" s="1"/>
  <c r="E142" i="6"/>
  <c r="F142" i="6" s="1"/>
  <c r="H142" i="6" s="1"/>
  <c r="B137" i="41"/>
  <c r="E136" i="31"/>
  <c r="F136" i="31" s="1"/>
  <c r="H136" i="31" s="1"/>
  <c r="E133" i="37"/>
  <c r="F133" i="37" s="1"/>
  <c r="H133" i="37" s="1"/>
  <c r="E138" i="24"/>
  <c r="F138" i="24" s="1"/>
  <c r="H138" i="24" s="1"/>
  <c r="E141" i="44"/>
  <c r="F141" i="44" s="1"/>
  <c r="H141" i="44" s="1"/>
  <c r="B141" i="44"/>
  <c r="E137" i="41"/>
  <c r="F137" i="41" s="1"/>
  <c r="D138" i="41" s="1"/>
  <c r="D137" i="42"/>
  <c r="G136" i="42"/>
  <c r="I136" i="42" s="1"/>
  <c r="E137" i="38"/>
  <c r="F137" i="38" s="1"/>
  <c r="H137" i="38" s="1"/>
  <c r="B137" i="38"/>
  <c r="B141" i="3"/>
  <c r="F141" i="3"/>
  <c r="H141" i="3" s="1"/>
  <c r="B141" i="4"/>
  <c r="B140" i="25"/>
  <c r="B136" i="29"/>
  <c r="B133" i="37"/>
  <c r="B135" i="30"/>
  <c r="B136" i="31"/>
  <c r="B138" i="24"/>
  <c r="B144" i="10"/>
  <c r="B139" i="23"/>
  <c r="I140" i="3"/>
  <c r="I140" i="4"/>
  <c r="B140" i="22"/>
  <c r="B132" i="40"/>
  <c r="B141" i="5"/>
  <c r="I140" i="5"/>
  <c r="B133" i="43"/>
  <c r="B143" i="9"/>
  <c r="B144" i="7"/>
  <c r="F144" i="7"/>
  <c r="H144" i="7" s="1"/>
  <c r="F133" i="39"/>
  <c r="H133" i="39" s="1"/>
  <c r="B133" i="39"/>
  <c r="B142" i="6"/>
  <c r="B143" i="11"/>
  <c r="B137" i="27"/>
  <c r="F137" i="27"/>
  <c r="H137" i="27" s="1"/>
  <c r="B136" i="28"/>
  <c r="F136" i="28"/>
  <c r="H136" i="28" s="1"/>
  <c r="B142" i="8"/>
  <c r="F136" i="45" l="1"/>
  <c r="G136" i="45" s="1"/>
  <c r="I136" i="45" s="1"/>
  <c r="I134" i="47"/>
  <c r="H134" i="47"/>
  <c r="F135" i="47"/>
  <c r="B135" i="47"/>
  <c r="G136" i="46"/>
  <c r="I136" i="46" s="1"/>
  <c r="D137" i="46"/>
  <c r="E137" i="46"/>
  <c r="H136" i="45"/>
  <c r="D137" i="45"/>
  <c r="B137" i="45" s="1"/>
  <c r="E137" i="45"/>
  <c r="H137" i="41"/>
  <c r="G137" i="41"/>
  <c r="I137" i="41" s="1"/>
  <c r="D142" i="44"/>
  <c r="G141" i="44"/>
  <c r="I141" i="44" s="1"/>
  <c r="D138" i="38"/>
  <c r="G137" i="38"/>
  <c r="I137" i="38" s="1"/>
  <c r="E138" i="41"/>
  <c r="F138" i="41" s="1"/>
  <c r="H138" i="41" s="1"/>
  <c r="B138" i="41"/>
  <c r="E137" i="42"/>
  <c r="F137" i="42" s="1"/>
  <c r="H137" i="42" s="1"/>
  <c r="B137" i="42"/>
  <c r="J140" i="3"/>
  <c r="J135" i="28"/>
  <c r="J140" i="4"/>
  <c r="J141" i="6"/>
  <c r="G137" i="27"/>
  <c r="I137" i="27" s="1"/>
  <c r="D138" i="27"/>
  <c r="E138" i="27"/>
  <c r="J143" i="7"/>
  <c r="G144" i="7"/>
  <c r="I144" i="7" s="1"/>
  <c r="D145" i="7"/>
  <c r="G143" i="9"/>
  <c r="I143" i="9" s="1"/>
  <c r="D144" i="9"/>
  <c r="J140" i="5"/>
  <c r="G140" i="22"/>
  <c r="I140" i="22" s="1"/>
  <c r="D141" i="22"/>
  <c r="J134" i="30"/>
  <c r="G136" i="31"/>
  <c r="I136" i="31" s="1"/>
  <c r="D137" i="31"/>
  <c r="J141" i="8"/>
  <c r="G136" i="29"/>
  <c r="I136" i="29" s="1"/>
  <c r="D137" i="29"/>
  <c r="G141" i="4"/>
  <c r="D142" i="4"/>
  <c r="D134" i="39"/>
  <c r="G133" i="39"/>
  <c r="I133" i="39" s="1"/>
  <c r="E134" i="39"/>
  <c r="G142" i="8"/>
  <c r="I142" i="8" s="1"/>
  <c r="D143" i="8"/>
  <c r="D137" i="28"/>
  <c r="G136" i="28"/>
  <c r="I136" i="28" s="1"/>
  <c r="G143" i="11"/>
  <c r="I143" i="11" s="1"/>
  <c r="D144" i="11"/>
  <c r="J135" i="31"/>
  <c r="G142" i="6"/>
  <c r="I142" i="6" s="1"/>
  <c r="D143" i="6"/>
  <c r="J143" i="10"/>
  <c r="G133" i="43"/>
  <c r="I133" i="43" s="1"/>
  <c r="D134" i="43"/>
  <c r="G141" i="5"/>
  <c r="D142" i="5"/>
  <c r="G132" i="40"/>
  <c r="I132" i="40" s="1"/>
  <c r="D133" i="40"/>
  <c r="J135" i="29"/>
  <c r="G139" i="23"/>
  <c r="I139" i="23" s="1"/>
  <c r="D140" i="23"/>
  <c r="G144" i="10"/>
  <c r="I144" i="10" s="1"/>
  <c r="D145" i="10"/>
  <c r="G138" i="24"/>
  <c r="I138" i="24" s="1"/>
  <c r="D139" i="24"/>
  <c r="G135" i="30"/>
  <c r="I135" i="30" s="1"/>
  <c r="D136" i="30"/>
  <c r="G133" i="37"/>
  <c r="I133" i="37" s="1"/>
  <c r="D134" i="37"/>
  <c r="E134" i="37"/>
  <c r="G140" i="25"/>
  <c r="I140" i="25" s="1"/>
  <c r="D141" i="25"/>
  <c r="G141" i="3"/>
  <c r="D142" i="3"/>
  <c r="J136" i="27"/>
  <c r="D136" i="47" l="1"/>
  <c r="G135" i="47"/>
  <c r="E136" i="47"/>
  <c r="B137" i="46"/>
  <c r="F137" i="46"/>
  <c r="F137" i="45"/>
  <c r="H137" i="45" s="1"/>
  <c r="D138" i="45"/>
  <c r="B138" i="45" s="1"/>
  <c r="G137" i="45"/>
  <c r="I137" i="45" s="1"/>
  <c r="E136" i="30"/>
  <c r="F136" i="30" s="1"/>
  <c r="H136" i="30" s="1"/>
  <c r="E143" i="6"/>
  <c r="F143" i="6" s="1"/>
  <c r="H143" i="6" s="1"/>
  <c r="E142" i="4"/>
  <c r="F142" i="4" s="1"/>
  <c r="H142" i="4" s="1"/>
  <c r="E142" i="3"/>
  <c r="F142" i="3" s="1"/>
  <c r="H142" i="3" s="1"/>
  <c r="E137" i="29"/>
  <c r="F137" i="29" s="1"/>
  <c r="H137" i="29" s="1"/>
  <c r="E145" i="10"/>
  <c r="F145" i="10" s="1"/>
  <c r="H145" i="10" s="1"/>
  <c r="E141" i="22"/>
  <c r="F141" i="22" s="1"/>
  <c r="H141" i="22" s="1"/>
  <c r="E133" i="40"/>
  <c r="F133" i="40" s="1"/>
  <c r="H133" i="40" s="1"/>
  <c r="E134" i="43"/>
  <c r="F134" i="43" s="1"/>
  <c r="H134" i="43" s="1"/>
  <c r="E145" i="7"/>
  <c r="F145" i="7" s="1"/>
  <c r="H145" i="7" s="1"/>
  <c r="E140" i="23"/>
  <c r="F140" i="23" s="1"/>
  <c r="H140" i="23" s="1"/>
  <c r="E137" i="28"/>
  <c r="F137" i="28" s="1"/>
  <c r="H137" i="28" s="1"/>
  <c r="E141" i="25"/>
  <c r="F141" i="25" s="1"/>
  <c r="H141" i="25" s="1"/>
  <c r="E142" i="5"/>
  <c r="F142" i="5" s="1"/>
  <c r="H142" i="5" s="1"/>
  <c r="E144" i="11"/>
  <c r="F144" i="11" s="1"/>
  <c r="H144" i="11" s="1"/>
  <c r="E143" i="8"/>
  <c r="F143" i="8" s="1"/>
  <c r="H143" i="8" s="1"/>
  <c r="E144" i="9"/>
  <c r="F144" i="9" s="1"/>
  <c r="H144" i="9" s="1"/>
  <c r="E137" i="31"/>
  <c r="F137" i="31" s="1"/>
  <c r="H137" i="31" s="1"/>
  <c r="E139" i="24"/>
  <c r="F139" i="24" s="1"/>
  <c r="H139" i="24" s="1"/>
  <c r="E142" i="44"/>
  <c r="F142" i="44" s="1"/>
  <c r="H142" i="44" s="1"/>
  <c r="B142" i="44"/>
  <c r="G138" i="41"/>
  <c r="I138" i="41" s="1"/>
  <c r="D139" i="41"/>
  <c r="G137" i="42"/>
  <c r="I137" i="42" s="1"/>
  <c r="D138" i="42"/>
  <c r="E138" i="38"/>
  <c r="F138" i="38" s="1"/>
  <c r="H138" i="38" s="1"/>
  <c r="B138" i="38"/>
  <c r="B142" i="3"/>
  <c r="I141" i="3"/>
  <c r="B136" i="30"/>
  <c r="B142" i="5"/>
  <c r="I141" i="4"/>
  <c r="B140" i="23"/>
  <c r="B133" i="40"/>
  <c r="I141" i="5"/>
  <c r="B143" i="8"/>
  <c r="B134" i="39"/>
  <c r="F134" i="39"/>
  <c r="H134" i="39" s="1"/>
  <c r="B145" i="7"/>
  <c r="B138" i="27"/>
  <c r="F138" i="27"/>
  <c r="H138" i="27" s="1"/>
  <c r="B141" i="25"/>
  <c r="B145" i="10"/>
  <c r="B137" i="29"/>
  <c r="B137" i="31"/>
  <c r="B141" i="22"/>
  <c r="B144" i="9"/>
  <c r="B134" i="37"/>
  <c r="F134" i="37"/>
  <c r="H134" i="37" s="1"/>
  <c r="B139" i="24"/>
  <c r="B134" i="43"/>
  <c r="B143" i="6"/>
  <c r="B144" i="11"/>
  <c r="B137" i="28"/>
  <c r="B142" i="4"/>
  <c r="I135" i="47" l="1"/>
  <c r="H135" i="47"/>
  <c r="F136" i="47"/>
  <c r="B136" i="47"/>
  <c r="E138" i="46"/>
  <c r="G137" i="46"/>
  <c r="I137" i="46" s="1"/>
  <c r="D138" i="46"/>
  <c r="H137" i="46"/>
  <c r="E138" i="45"/>
  <c r="F138" i="45" s="1"/>
  <c r="D143" i="44"/>
  <c r="G142" i="44"/>
  <c r="I142" i="44" s="1"/>
  <c r="D139" i="38"/>
  <c r="G138" i="38"/>
  <c r="I138" i="38" s="1"/>
  <c r="E139" i="41"/>
  <c r="F139" i="41" s="1"/>
  <c r="H139" i="41" s="1"/>
  <c r="B139" i="41"/>
  <c r="E138" i="42"/>
  <c r="F138" i="42" s="1"/>
  <c r="H138" i="42" s="1"/>
  <c r="B138" i="42"/>
  <c r="J136" i="31"/>
  <c r="J144" i="7"/>
  <c r="J141" i="5"/>
  <c r="J136" i="29"/>
  <c r="J142" i="8"/>
  <c r="J137" i="27"/>
  <c r="G142" i="4"/>
  <c r="D143" i="4"/>
  <c r="G144" i="11"/>
  <c r="I144" i="11" s="1"/>
  <c r="D145" i="11"/>
  <c r="G134" i="43"/>
  <c r="I134" i="43" s="1"/>
  <c r="D135" i="43"/>
  <c r="G139" i="24"/>
  <c r="I139" i="24" s="1"/>
  <c r="D140" i="24"/>
  <c r="G134" i="37"/>
  <c r="I134" i="37" s="1"/>
  <c r="D135" i="37"/>
  <c r="G141" i="22"/>
  <c r="I141" i="22" s="1"/>
  <c r="D142" i="22"/>
  <c r="G137" i="29"/>
  <c r="I137" i="29" s="1"/>
  <c r="D138" i="29"/>
  <c r="J136" i="28"/>
  <c r="G141" i="25"/>
  <c r="I141" i="25" s="1"/>
  <c r="D142" i="25"/>
  <c r="G145" i="7"/>
  <c r="I145" i="7" s="1"/>
  <c r="D146" i="7"/>
  <c r="G143" i="8"/>
  <c r="I143" i="8" s="1"/>
  <c r="D144" i="8"/>
  <c r="G133" i="40"/>
  <c r="I133" i="40" s="1"/>
  <c r="D134" i="40"/>
  <c r="E134" i="40"/>
  <c r="J135" i="30"/>
  <c r="J142" i="6"/>
  <c r="G142" i="5"/>
  <c r="D143" i="5"/>
  <c r="G136" i="30"/>
  <c r="I136" i="30" s="1"/>
  <c r="D137" i="30"/>
  <c r="D138" i="28"/>
  <c r="G137" i="28"/>
  <c r="I137" i="28" s="1"/>
  <c r="G143" i="6"/>
  <c r="I143" i="6" s="1"/>
  <c r="D144" i="6"/>
  <c r="G144" i="9"/>
  <c r="I144" i="9" s="1"/>
  <c r="D145" i="9"/>
  <c r="G137" i="31"/>
  <c r="I137" i="31" s="1"/>
  <c r="D138" i="31"/>
  <c r="G145" i="10"/>
  <c r="I145" i="10" s="1"/>
  <c r="D146" i="10"/>
  <c r="G138" i="27"/>
  <c r="I138" i="27" s="1"/>
  <c r="D139" i="27"/>
  <c r="G134" i="39"/>
  <c r="I134" i="39" s="1"/>
  <c r="D135" i="39"/>
  <c r="E135" i="39"/>
  <c r="G140" i="23"/>
  <c r="I140" i="23" s="1"/>
  <c r="D141" i="23"/>
  <c r="G142" i="3"/>
  <c r="D143" i="3"/>
  <c r="J144" i="10"/>
  <c r="J141" i="4"/>
  <c r="J141" i="3"/>
  <c r="D137" i="47" l="1"/>
  <c r="G136" i="47"/>
  <c r="E137" i="47"/>
  <c r="B138" i="46"/>
  <c r="F138" i="46"/>
  <c r="H138" i="46" s="1"/>
  <c r="H138" i="45"/>
  <c r="E139" i="45"/>
  <c r="G138" i="45"/>
  <c r="I138" i="45" s="1"/>
  <c r="D139" i="45"/>
  <c r="B139" i="45" s="1"/>
  <c r="E146" i="7"/>
  <c r="F146" i="7" s="1"/>
  <c r="H146" i="7" s="1"/>
  <c r="E139" i="27"/>
  <c r="F139" i="27" s="1"/>
  <c r="H139" i="27" s="1"/>
  <c r="E137" i="30"/>
  <c r="F137" i="30" s="1"/>
  <c r="H137" i="30" s="1"/>
  <c r="E138" i="29"/>
  <c r="F138" i="29" s="1"/>
  <c r="H138" i="29" s="1"/>
  <c r="E135" i="43"/>
  <c r="F135" i="43" s="1"/>
  <c r="H135" i="43" s="1"/>
  <c r="E143" i="4"/>
  <c r="F143" i="4" s="1"/>
  <c r="H143" i="4" s="1"/>
  <c r="E141" i="23"/>
  <c r="F141" i="23" s="1"/>
  <c r="H141" i="23" s="1"/>
  <c r="E144" i="6"/>
  <c r="F144" i="6" s="1"/>
  <c r="H144" i="6" s="1"/>
  <c r="E143" i="3"/>
  <c r="F143" i="3" s="1"/>
  <c r="H143" i="3" s="1"/>
  <c r="E144" i="8"/>
  <c r="F144" i="8" s="1"/>
  <c r="H144" i="8" s="1"/>
  <c r="E142" i="25"/>
  <c r="F142" i="25" s="1"/>
  <c r="H142" i="25" s="1"/>
  <c r="E138" i="28"/>
  <c r="F138" i="28" s="1"/>
  <c r="H138" i="28" s="1"/>
  <c r="E146" i="10"/>
  <c r="F146" i="10" s="1"/>
  <c r="H146" i="10" s="1"/>
  <c r="E145" i="9"/>
  <c r="F145" i="9" s="1"/>
  <c r="H145" i="9" s="1"/>
  <c r="E143" i="5"/>
  <c r="F143" i="5" s="1"/>
  <c r="H143" i="5" s="1"/>
  <c r="E142" i="22"/>
  <c r="F142" i="22" s="1"/>
  <c r="H142" i="22" s="1"/>
  <c r="E145" i="11"/>
  <c r="F145" i="11" s="1"/>
  <c r="H145" i="11" s="1"/>
  <c r="B143" i="44"/>
  <c r="E138" i="31"/>
  <c r="F138" i="31" s="1"/>
  <c r="H138" i="31" s="1"/>
  <c r="E135" i="37"/>
  <c r="F135" i="37" s="1"/>
  <c r="H135" i="37" s="1"/>
  <c r="E140" i="24"/>
  <c r="F140" i="24" s="1"/>
  <c r="H140" i="24" s="1"/>
  <c r="E143" i="44"/>
  <c r="F143" i="44" s="1"/>
  <c r="H143" i="44" s="1"/>
  <c r="G139" i="41"/>
  <c r="I139" i="41" s="1"/>
  <c r="D140" i="41"/>
  <c r="G138" i="42"/>
  <c r="I138" i="42" s="1"/>
  <c r="D139" i="42"/>
  <c r="E139" i="42"/>
  <c r="E139" i="38"/>
  <c r="F139" i="38" s="1"/>
  <c r="H139" i="38" s="1"/>
  <c r="B139" i="38"/>
  <c r="B143" i="3"/>
  <c r="B146" i="10"/>
  <c r="B142" i="25"/>
  <c r="B138" i="29"/>
  <c r="B135" i="43"/>
  <c r="I142" i="3"/>
  <c r="B139" i="27"/>
  <c r="B144" i="6"/>
  <c r="B138" i="28"/>
  <c r="B146" i="7"/>
  <c r="B140" i="24"/>
  <c r="B135" i="39"/>
  <c r="F135" i="39"/>
  <c r="H135" i="39" s="1"/>
  <c r="B145" i="9"/>
  <c r="B143" i="5"/>
  <c r="B144" i="8"/>
  <c r="B135" i="37"/>
  <c r="B143" i="4"/>
  <c r="B141" i="23"/>
  <c r="B138" i="31"/>
  <c r="B137" i="30"/>
  <c r="I142" i="5"/>
  <c r="B134" i="40"/>
  <c r="F134" i="40"/>
  <c r="H134" i="40" s="1"/>
  <c r="B142" i="22"/>
  <c r="B145" i="11"/>
  <c r="I142" i="4"/>
  <c r="I136" i="47" l="1"/>
  <c r="H136" i="47"/>
  <c r="B137" i="47"/>
  <c r="F137" i="47"/>
  <c r="D139" i="46"/>
  <c r="G138" i="46"/>
  <c r="I138" i="46" s="1"/>
  <c r="E139" i="46"/>
  <c r="F139" i="45"/>
  <c r="H139" i="45" s="1"/>
  <c r="B139" i="42"/>
  <c r="B140" i="41"/>
  <c r="G143" i="44"/>
  <c r="I143" i="44" s="1"/>
  <c r="D144" i="44"/>
  <c r="F139" i="42"/>
  <c r="G139" i="42" s="1"/>
  <c r="I139" i="42" s="1"/>
  <c r="E140" i="41"/>
  <c r="F140" i="41" s="1"/>
  <c r="H140" i="41" s="1"/>
  <c r="G139" i="38"/>
  <c r="I139" i="38" s="1"/>
  <c r="D140" i="38"/>
  <c r="J137" i="31"/>
  <c r="J142" i="5"/>
  <c r="J145" i="7"/>
  <c r="J136" i="30"/>
  <c r="J137" i="29"/>
  <c r="J142" i="4"/>
  <c r="J143" i="8"/>
  <c r="G141" i="23"/>
  <c r="I141" i="23" s="1"/>
  <c r="D142" i="23"/>
  <c r="G143" i="5"/>
  <c r="D144" i="5"/>
  <c r="D146" i="9"/>
  <c r="G145" i="9"/>
  <c r="I145" i="9" s="1"/>
  <c r="G135" i="39"/>
  <c r="I135" i="39" s="1"/>
  <c r="D136" i="39"/>
  <c r="G140" i="24"/>
  <c r="I140" i="24" s="1"/>
  <c r="D141" i="24"/>
  <c r="G138" i="28"/>
  <c r="I138" i="28" s="1"/>
  <c r="D139" i="28"/>
  <c r="E139" i="28"/>
  <c r="J145" i="10"/>
  <c r="J142" i="3"/>
  <c r="G135" i="43"/>
  <c r="I135" i="43" s="1"/>
  <c r="D136" i="43"/>
  <c r="E136" i="43"/>
  <c r="G138" i="29"/>
  <c r="I138" i="29" s="1"/>
  <c r="D139" i="29"/>
  <c r="J137" i="28"/>
  <c r="D147" i="10"/>
  <c r="G146" i="10"/>
  <c r="I146" i="10" s="1"/>
  <c r="G143" i="3"/>
  <c r="D144" i="3"/>
  <c r="G145" i="11"/>
  <c r="I145" i="11" s="1"/>
  <c r="D146" i="11"/>
  <c r="G142" i="22"/>
  <c r="I142" i="22" s="1"/>
  <c r="D143" i="22"/>
  <c r="G134" i="40"/>
  <c r="I134" i="40" s="1"/>
  <c r="D135" i="40"/>
  <c r="G137" i="30"/>
  <c r="I137" i="30" s="1"/>
  <c r="D138" i="30"/>
  <c r="G138" i="31"/>
  <c r="I138" i="31" s="1"/>
  <c r="D139" i="31"/>
  <c r="G143" i="4"/>
  <c r="D144" i="4"/>
  <c r="G135" i="37"/>
  <c r="I135" i="37" s="1"/>
  <c r="D136" i="37"/>
  <c r="D145" i="8"/>
  <c r="G144" i="8"/>
  <c r="I144" i="8" s="1"/>
  <c r="G146" i="7"/>
  <c r="I146" i="7" s="1"/>
  <c r="D147" i="7"/>
  <c r="G144" i="6"/>
  <c r="I144" i="6" s="1"/>
  <c r="D145" i="6"/>
  <c r="G139" i="27"/>
  <c r="I139" i="27" s="1"/>
  <c r="D140" i="27"/>
  <c r="E140" i="27"/>
  <c r="G142" i="25"/>
  <c r="I142" i="25" s="1"/>
  <c r="D143" i="25"/>
  <c r="J143" i="6"/>
  <c r="J138" i="27"/>
  <c r="G137" i="47" l="1"/>
  <c r="D138" i="47"/>
  <c r="E138" i="47"/>
  <c r="G139" i="45"/>
  <c r="I139" i="45" s="1"/>
  <c r="F139" i="46"/>
  <c r="H139" i="46" s="1"/>
  <c r="B139" i="46"/>
  <c r="D140" i="45"/>
  <c r="B140" i="45" s="1"/>
  <c r="H139" i="42"/>
  <c r="E145" i="6"/>
  <c r="F145" i="6" s="1"/>
  <c r="H145" i="6" s="1"/>
  <c r="E144" i="4"/>
  <c r="F144" i="4" s="1"/>
  <c r="H144" i="4" s="1"/>
  <c r="E138" i="30"/>
  <c r="F138" i="30" s="1"/>
  <c r="H138" i="30" s="1"/>
  <c r="E144" i="3"/>
  <c r="F144" i="3" s="1"/>
  <c r="H144" i="3" s="1"/>
  <c r="E146" i="9"/>
  <c r="F146" i="9" s="1"/>
  <c r="H146" i="9" s="1"/>
  <c r="E144" i="5"/>
  <c r="E143" i="22"/>
  <c r="F143" i="22" s="1"/>
  <c r="H143" i="22" s="1"/>
  <c r="E145" i="8"/>
  <c r="F145" i="8" s="1"/>
  <c r="H145" i="8" s="1"/>
  <c r="E147" i="7"/>
  <c r="F147" i="7" s="1"/>
  <c r="H147" i="7" s="1"/>
  <c r="E135" i="40"/>
  <c r="F135" i="40" s="1"/>
  <c r="H135" i="40" s="1"/>
  <c r="E146" i="11"/>
  <c r="F146" i="11" s="1"/>
  <c r="H146" i="11" s="1"/>
  <c r="E139" i="29"/>
  <c r="F139" i="29" s="1"/>
  <c r="H139" i="29" s="1"/>
  <c r="E136" i="39"/>
  <c r="F136" i="39" s="1"/>
  <c r="H136" i="39" s="1"/>
  <c r="E143" i="25"/>
  <c r="F143" i="25" s="1"/>
  <c r="H143" i="25" s="1"/>
  <c r="E147" i="10"/>
  <c r="F147" i="10" s="1"/>
  <c r="H147" i="10" s="1"/>
  <c r="E142" i="23"/>
  <c r="F142" i="23" s="1"/>
  <c r="H142" i="23" s="1"/>
  <c r="E139" i="31"/>
  <c r="F139" i="31" s="1"/>
  <c r="H139" i="31" s="1"/>
  <c r="E136" i="37"/>
  <c r="F136" i="37" s="1"/>
  <c r="H136" i="37" s="1"/>
  <c r="B140" i="38"/>
  <c r="E141" i="24"/>
  <c r="F141" i="24" s="1"/>
  <c r="H141" i="24" s="1"/>
  <c r="D140" i="42"/>
  <c r="E144" i="44"/>
  <c r="F144" i="44" s="1"/>
  <c r="H144" i="44" s="1"/>
  <c r="B144" i="44"/>
  <c r="E140" i="38"/>
  <c r="F140" i="38" s="1"/>
  <c r="D141" i="38" s="1"/>
  <c r="G140" i="41"/>
  <c r="I140" i="41" s="1"/>
  <c r="D141" i="41"/>
  <c r="B145" i="8"/>
  <c r="B145" i="6"/>
  <c r="B144" i="4"/>
  <c r="B143" i="22"/>
  <c r="B136" i="43"/>
  <c r="F136" i="43"/>
  <c r="H136" i="43" s="1"/>
  <c r="B141" i="24"/>
  <c r="B142" i="23"/>
  <c r="B136" i="37"/>
  <c r="B135" i="40"/>
  <c r="B139" i="29"/>
  <c r="B139" i="28"/>
  <c r="F139" i="28"/>
  <c r="H139" i="28" s="1"/>
  <c r="B144" i="5"/>
  <c r="F144" i="5"/>
  <c r="H144" i="5" s="1"/>
  <c r="B140" i="27"/>
  <c r="F140" i="27"/>
  <c r="H140" i="27" s="1"/>
  <c r="I143" i="4"/>
  <c r="B143" i="25"/>
  <c r="B138" i="30"/>
  <c r="B144" i="3"/>
  <c r="B147" i="10"/>
  <c r="I143" i="5"/>
  <c r="B147" i="7"/>
  <c r="B139" i="31"/>
  <c r="B146" i="11"/>
  <c r="I143" i="3"/>
  <c r="B136" i="39"/>
  <c r="B146" i="9"/>
  <c r="E140" i="45" l="1"/>
  <c r="F138" i="47"/>
  <c r="B138" i="47"/>
  <c r="H137" i="47"/>
  <c r="I137" i="47"/>
  <c r="D140" i="46"/>
  <c r="G139" i="46"/>
  <c r="I139" i="46" s="1"/>
  <c r="E140" i="46"/>
  <c r="F140" i="45"/>
  <c r="H140" i="45" s="1"/>
  <c r="B140" i="42"/>
  <c r="H140" i="38"/>
  <c r="B141" i="38"/>
  <c r="E140" i="42"/>
  <c r="F140" i="42" s="1"/>
  <c r="H140" i="42" s="1"/>
  <c r="G144" i="44"/>
  <c r="I144" i="44" s="1"/>
  <c r="D145" i="44"/>
  <c r="E141" i="38"/>
  <c r="F141" i="38" s="1"/>
  <c r="G141" i="38" s="1"/>
  <c r="I141" i="38" s="1"/>
  <c r="G140" i="38"/>
  <c r="I140" i="38" s="1"/>
  <c r="E141" i="41"/>
  <c r="F141" i="41" s="1"/>
  <c r="H141" i="41" s="1"/>
  <c r="B141" i="41"/>
  <c r="J138" i="28"/>
  <c r="G146" i="9"/>
  <c r="I146" i="9" s="1"/>
  <c r="D147" i="9"/>
  <c r="J143" i="3"/>
  <c r="J137" i="30"/>
  <c r="G147" i="7"/>
  <c r="I147" i="7" s="1"/>
  <c r="D148" i="7"/>
  <c r="J138" i="29"/>
  <c r="G144" i="3"/>
  <c r="D145" i="3"/>
  <c r="G138" i="30"/>
  <c r="I138" i="30" s="1"/>
  <c r="D139" i="30"/>
  <c r="E139" i="30"/>
  <c r="J144" i="8"/>
  <c r="G143" i="25"/>
  <c r="I143" i="25" s="1"/>
  <c r="D144" i="25"/>
  <c r="J144" i="6"/>
  <c r="J146" i="10"/>
  <c r="G135" i="40"/>
  <c r="I135" i="40" s="1"/>
  <c r="D136" i="40"/>
  <c r="G142" i="23"/>
  <c r="I142" i="23" s="1"/>
  <c r="D143" i="23"/>
  <c r="J138" i="31"/>
  <c r="J146" i="7"/>
  <c r="G145" i="8"/>
  <c r="I145" i="8" s="1"/>
  <c r="D146" i="8"/>
  <c r="G141" i="24"/>
  <c r="I141" i="24" s="1"/>
  <c r="D142" i="24"/>
  <c r="G136" i="39"/>
  <c r="I136" i="39" s="1"/>
  <c r="D137" i="39"/>
  <c r="G146" i="11"/>
  <c r="I146" i="11" s="1"/>
  <c r="D147" i="11"/>
  <c r="G139" i="31"/>
  <c r="I139" i="31" s="1"/>
  <c r="D140" i="31"/>
  <c r="J143" i="5"/>
  <c r="G147" i="10"/>
  <c r="I147" i="10" s="1"/>
  <c r="D148" i="10"/>
  <c r="J139" i="27"/>
  <c r="J143" i="4"/>
  <c r="G140" i="27"/>
  <c r="I140" i="27" s="1"/>
  <c r="D141" i="27"/>
  <c r="G144" i="5"/>
  <c r="D145" i="5"/>
  <c r="G139" i="28"/>
  <c r="I139" i="28" s="1"/>
  <c r="D140" i="28"/>
  <c r="D140" i="29"/>
  <c r="G139" i="29"/>
  <c r="I139" i="29" s="1"/>
  <c r="G136" i="37"/>
  <c r="I136" i="37" s="1"/>
  <c r="D137" i="37"/>
  <c r="G136" i="43"/>
  <c r="I136" i="43" s="1"/>
  <c r="D137" i="43"/>
  <c r="G143" i="22"/>
  <c r="I143" i="22" s="1"/>
  <c r="D144" i="22"/>
  <c r="G144" i="4"/>
  <c r="D145" i="4"/>
  <c r="G145" i="6"/>
  <c r="I145" i="6" s="1"/>
  <c r="D146" i="6"/>
  <c r="G140" i="45" l="1"/>
  <c r="I140" i="45" s="1"/>
  <c r="D141" i="45"/>
  <c r="B141" i="45" s="1"/>
  <c r="D139" i="47"/>
  <c r="G138" i="47"/>
  <c r="E139" i="47"/>
  <c r="F140" i="46"/>
  <c r="H140" i="46" s="1"/>
  <c r="B140" i="46"/>
  <c r="E145" i="5"/>
  <c r="F145" i="5" s="1"/>
  <c r="H145" i="5" s="1"/>
  <c r="E148" i="7"/>
  <c r="F148" i="7" s="1"/>
  <c r="H148" i="7" s="1"/>
  <c r="E140" i="29"/>
  <c r="F140" i="29" s="1"/>
  <c r="H140" i="29" s="1"/>
  <c r="E137" i="39"/>
  <c r="F137" i="39" s="1"/>
  <c r="H137" i="39" s="1"/>
  <c r="E146" i="8"/>
  <c r="F146" i="8" s="1"/>
  <c r="H146" i="8" s="1"/>
  <c r="E143" i="23"/>
  <c r="F143" i="23" s="1"/>
  <c r="H143" i="23" s="1"/>
  <c r="E145" i="3"/>
  <c r="F145" i="3" s="1"/>
  <c r="H145" i="3" s="1"/>
  <c r="E137" i="43"/>
  <c r="F137" i="43" s="1"/>
  <c r="H137" i="43" s="1"/>
  <c r="E147" i="9"/>
  <c r="F147" i="9" s="1"/>
  <c r="H147" i="9" s="1"/>
  <c r="E146" i="6"/>
  <c r="F146" i="6" s="1"/>
  <c r="H146" i="6" s="1"/>
  <c r="E144" i="22"/>
  <c r="F144" i="22" s="1"/>
  <c r="H144" i="22" s="1"/>
  <c r="E140" i="28"/>
  <c r="F140" i="28" s="1"/>
  <c r="H140" i="28" s="1"/>
  <c r="E141" i="27"/>
  <c r="F141" i="27" s="1"/>
  <c r="H141" i="27" s="1"/>
  <c r="E148" i="10"/>
  <c r="F148" i="10" s="1"/>
  <c r="H148" i="10" s="1"/>
  <c r="E145" i="4"/>
  <c r="E147" i="11"/>
  <c r="F147" i="11" s="1"/>
  <c r="H147" i="11" s="1"/>
  <c r="E136" i="40"/>
  <c r="F136" i="40" s="1"/>
  <c r="H136" i="40" s="1"/>
  <c r="E144" i="25"/>
  <c r="F144" i="25" s="1"/>
  <c r="H144" i="25" s="1"/>
  <c r="E140" i="31"/>
  <c r="F140" i="31" s="1"/>
  <c r="H140" i="31" s="1"/>
  <c r="E137" i="37"/>
  <c r="F137" i="37" s="1"/>
  <c r="H137" i="37" s="1"/>
  <c r="H141" i="38"/>
  <c r="E142" i="24"/>
  <c r="F142" i="24" s="1"/>
  <c r="H142" i="24" s="1"/>
  <c r="D141" i="42"/>
  <c r="E141" i="42" s="1"/>
  <c r="F141" i="42" s="1"/>
  <c r="G140" i="42"/>
  <c r="I140" i="42" s="1"/>
  <c r="E145" i="44"/>
  <c r="F145" i="44" s="1"/>
  <c r="H145" i="44" s="1"/>
  <c r="B145" i="44"/>
  <c r="D142" i="38"/>
  <c r="G141" i="41"/>
  <c r="I141" i="41" s="1"/>
  <c r="D142" i="41"/>
  <c r="B146" i="6"/>
  <c r="I144" i="4"/>
  <c r="B137" i="37"/>
  <c r="B140" i="29"/>
  <c r="B141" i="27"/>
  <c r="B147" i="11"/>
  <c r="B148" i="10"/>
  <c r="B140" i="31"/>
  <c r="B146" i="8"/>
  <c r="B136" i="40"/>
  <c r="B145" i="3"/>
  <c r="B148" i="7"/>
  <c r="B137" i="43"/>
  <c r="B140" i="28"/>
  <c r="I144" i="5"/>
  <c r="B142" i="24"/>
  <c r="B143" i="23"/>
  <c r="B144" i="25"/>
  <c r="B139" i="30"/>
  <c r="F139" i="30"/>
  <c r="H139" i="30" s="1"/>
  <c r="I144" i="3"/>
  <c r="B147" i="9"/>
  <c r="B145" i="5"/>
  <c r="B144" i="22"/>
  <c r="B145" i="4"/>
  <c r="F145" i="4"/>
  <c r="H145" i="4" s="1"/>
  <c r="B137" i="39"/>
  <c r="E141" i="45" l="1"/>
  <c r="F141" i="45" s="1"/>
  <c r="H141" i="45" s="1"/>
  <c r="H138" i="47"/>
  <c r="I138" i="47"/>
  <c r="B139" i="47"/>
  <c r="F139" i="47"/>
  <c r="D141" i="46"/>
  <c r="G140" i="46"/>
  <c r="I140" i="46" s="1"/>
  <c r="E141" i="46"/>
  <c r="F141" i="46" s="1"/>
  <c r="D142" i="45"/>
  <c r="B142" i="45" s="1"/>
  <c r="B141" i="42"/>
  <c r="H141" i="42"/>
  <c r="B142" i="41"/>
  <c r="B142" i="38"/>
  <c r="E142" i="38"/>
  <c r="F142" i="38" s="1"/>
  <c r="D146" i="44"/>
  <c r="G145" i="44"/>
  <c r="I145" i="44" s="1"/>
  <c r="E142" i="41"/>
  <c r="F142" i="41" s="1"/>
  <c r="G142" i="41" s="1"/>
  <c r="I142" i="41" s="1"/>
  <c r="D142" i="42"/>
  <c r="G141" i="42"/>
  <c r="I141" i="42" s="1"/>
  <c r="J144" i="4"/>
  <c r="J138" i="30"/>
  <c r="J139" i="28"/>
  <c r="D146" i="5"/>
  <c r="G145" i="5"/>
  <c r="G147" i="9"/>
  <c r="I147" i="9" s="1"/>
  <c r="D148" i="9"/>
  <c r="J144" i="3"/>
  <c r="G144" i="25"/>
  <c r="I144" i="25" s="1"/>
  <c r="D145" i="25"/>
  <c r="G143" i="23"/>
  <c r="I143" i="23" s="1"/>
  <c r="D144" i="23"/>
  <c r="G142" i="24"/>
  <c r="I142" i="24" s="1"/>
  <c r="D143" i="24"/>
  <c r="J147" i="10"/>
  <c r="G140" i="28"/>
  <c r="I140" i="28" s="1"/>
  <c r="D141" i="28"/>
  <c r="G148" i="7"/>
  <c r="I148" i="7" s="1"/>
  <c r="D149" i="7"/>
  <c r="G136" i="40"/>
  <c r="I136" i="40" s="1"/>
  <c r="D137" i="40"/>
  <c r="G148" i="10"/>
  <c r="I148" i="10" s="1"/>
  <c r="D149" i="10"/>
  <c r="D148" i="11"/>
  <c r="G147" i="11"/>
  <c r="I147" i="11" s="1"/>
  <c r="G140" i="29"/>
  <c r="I140" i="29" s="1"/>
  <c r="D141" i="29"/>
  <c r="G137" i="39"/>
  <c r="I137" i="39" s="1"/>
  <c r="D138" i="39"/>
  <c r="J139" i="29"/>
  <c r="G145" i="4"/>
  <c r="D146" i="4"/>
  <c r="G144" i="22"/>
  <c r="I144" i="22" s="1"/>
  <c r="D145" i="22"/>
  <c r="J145" i="6"/>
  <c r="J147" i="7"/>
  <c r="G139" i="30"/>
  <c r="I139" i="30" s="1"/>
  <c r="D140" i="30"/>
  <c r="J145" i="8"/>
  <c r="J139" i="31"/>
  <c r="J144" i="5"/>
  <c r="J140" i="27"/>
  <c r="G137" i="43"/>
  <c r="I137" i="43" s="1"/>
  <c r="D138" i="43"/>
  <c r="G145" i="3"/>
  <c r="D146" i="3"/>
  <c r="G146" i="8"/>
  <c r="I146" i="8" s="1"/>
  <c r="D147" i="8"/>
  <c r="G140" i="31"/>
  <c r="I140" i="31" s="1"/>
  <c r="D141" i="31"/>
  <c r="G141" i="27"/>
  <c r="I141" i="27" s="1"/>
  <c r="D142" i="27"/>
  <c r="G137" i="37"/>
  <c r="I137" i="37" s="1"/>
  <c r="D138" i="37"/>
  <c r="G146" i="6"/>
  <c r="I146" i="6" s="1"/>
  <c r="D147" i="6"/>
  <c r="G141" i="45" l="1"/>
  <c r="I141" i="45" s="1"/>
  <c r="D140" i="47"/>
  <c r="G139" i="47"/>
  <c r="E140" i="47"/>
  <c r="D142" i="46"/>
  <c r="E142" i="46" s="1"/>
  <c r="G141" i="46"/>
  <c r="I141" i="46" s="1"/>
  <c r="B141" i="46"/>
  <c r="H141" i="46"/>
  <c r="E142" i="45"/>
  <c r="F142" i="45" s="1"/>
  <c r="H142" i="45" s="1"/>
  <c r="E140" i="30"/>
  <c r="F140" i="30" s="1"/>
  <c r="H140" i="30" s="1"/>
  <c r="E138" i="39"/>
  <c r="F138" i="39" s="1"/>
  <c r="H138" i="39" s="1"/>
  <c r="E137" i="40"/>
  <c r="F137" i="40" s="1"/>
  <c r="H137" i="40" s="1"/>
  <c r="E141" i="28"/>
  <c r="F141" i="28" s="1"/>
  <c r="H141" i="28" s="1"/>
  <c r="E146" i="3"/>
  <c r="F146" i="3" s="1"/>
  <c r="H146" i="3" s="1"/>
  <c r="E145" i="25"/>
  <c r="F145" i="25" s="1"/>
  <c r="H145" i="25" s="1"/>
  <c r="E147" i="8"/>
  <c r="F147" i="8" s="1"/>
  <c r="H147" i="8" s="1"/>
  <c r="E138" i="43"/>
  <c r="F138" i="43" s="1"/>
  <c r="H138" i="43" s="1"/>
  <c r="E146" i="4"/>
  <c r="F146" i="4" s="1"/>
  <c r="H146" i="4" s="1"/>
  <c r="E148" i="11"/>
  <c r="F148" i="11" s="1"/>
  <c r="H148" i="11" s="1"/>
  <c r="E144" i="23"/>
  <c r="F144" i="23" s="1"/>
  <c r="H144" i="23" s="1"/>
  <c r="E146" i="5"/>
  <c r="F146" i="5" s="1"/>
  <c r="H146" i="5" s="1"/>
  <c r="E145" i="22"/>
  <c r="E147" i="6"/>
  <c r="F147" i="6" s="1"/>
  <c r="H147" i="6" s="1"/>
  <c r="E142" i="27"/>
  <c r="F142" i="27" s="1"/>
  <c r="H142" i="27" s="1"/>
  <c r="E141" i="29"/>
  <c r="F141" i="29" s="1"/>
  <c r="H141" i="29" s="1"/>
  <c r="E149" i="10"/>
  <c r="F149" i="10" s="1"/>
  <c r="H149" i="10" s="1"/>
  <c r="E149" i="7"/>
  <c r="F149" i="7" s="1"/>
  <c r="H149" i="7" s="1"/>
  <c r="E148" i="9"/>
  <c r="F148" i="9" s="1"/>
  <c r="H148" i="9" s="1"/>
  <c r="H142" i="41"/>
  <c r="E141" i="31"/>
  <c r="F141" i="31" s="1"/>
  <c r="H141" i="31" s="1"/>
  <c r="E138" i="37"/>
  <c r="F138" i="37" s="1"/>
  <c r="H138" i="37" s="1"/>
  <c r="G142" i="38"/>
  <c r="I142" i="38" s="1"/>
  <c r="H142" i="38"/>
  <c r="E143" i="24"/>
  <c r="F143" i="24" s="1"/>
  <c r="H143" i="24" s="1"/>
  <c r="D143" i="38"/>
  <c r="E146" i="44"/>
  <c r="F146" i="44" s="1"/>
  <c r="H146" i="44" s="1"/>
  <c r="B146" i="44"/>
  <c r="D143" i="41"/>
  <c r="E142" i="42"/>
  <c r="F142" i="42" s="1"/>
  <c r="H142" i="42" s="1"/>
  <c r="B142" i="42"/>
  <c r="B146" i="4"/>
  <c r="B138" i="43"/>
  <c r="I145" i="4"/>
  <c r="B138" i="37"/>
  <c r="B146" i="3"/>
  <c r="B141" i="28"/>
  <c r="B143" i="24"/>
  <c r="B141" i="31"/>
  <c r="B142" i="27"/>
  <c r="B147" i="6"/>
  <c r="B147" i="8"/>
  <c r="I145" i="3"/>
  <c r="B141" i="29"/>
  <c r="B148" i="11"/>
  <c r="B149" i="7"/>
  <c r="I145" i="5"/>
  <c r="B140" i="30"/>
  <c r="B138" i="39"/>
  <c r="B137" i="40"/>
  <c r="B145" i="25"/>
  <c r="B148" i="9"/>
  <c r="B146" i="5"/>
  <c r="B145" i="22"/>
  <c r="F145" i="22"/>
  <c r="H145" i="22" s="1"/>
  <c r="B149" i="10"/>
  <c r="B144" i="23"/>
  <c r="G142" i="45" l="1"/>
  <c r="I142" i="45" s="1"/>
  <c r="H139" i="47"/>
  <c r="I139" i="47"/>
  <c r="F140" i="47"/>
  <c r="B140" i="47"/>
  <c r="B142" i="46"/>
  <c r="F142" i="46"/>
  <c r="H142" i="46" s="1"/>
  <c r="D143" i="45"/>
  <c r="E143" i="45" s="1"/>
  <c r="F143" i="45" s="1"/>
  <c r="D144" i="45" s="1"/>
  <c r="B144" i="45" s="1"/>
  <c r="B143" i="41"/>
  <c r="B143" i="38"/>
  <c r="E143" i="38"/>
  <c r="F143" i="38" s="1"/>
  <c r="H143" i="38" s="1"/>
  <c r="E143" i="41"/>
  <c r="F143" i="41" s="1"/>
  <c r="D144" i="41" s="1"/>
  <c r="D147" i="44"/>
  <c r="G146" i="44"/>
  <c r="I146" i="44" s="1"/>
  <c r="G142" i="42"/>
  <c r="I142" i="42" s="1"/>
  <c r="D143" i="42"/>
  <c r="J145" i="4"/>
  <c r="J146" i="6"/>
  <c r="J148" i="7"/>
  <c r="J146" i="8"/>
  <c r="G144" i="23"/>
  <c r="I144" i="23" s="1"/>
  <c r="D145" i="23"/>
  <c r="G149" i="10"/>
  <c r="I149" i="10" s="1"/>
  <c r="D150" i="10"/>
  <c r="G146" i="5"/>
  <c r="D147" i="5"/>
  <c r="G145" i="25"/>
  <c r="I145" i="25" s="1"/>
  <c r="D146" i="25"/>
  <c r="G137" i="40"/>
  <c r="I137" i="40" s="1"/>
  <c r="D138" i="40"/>
  <c r="G138" i="39"/>
  <c r="I138" i="39" s="1"/>
  <c r="D139" i="39"/>
  <c r="E139" i="39"/>
  <c r="J145" i="5"/>
  <c r="J140" i="28"/>
  <c r="G148" i="11"/>
  <c r="I148" i="11" s="1"/>
  <c r="D149" i="11"/>
  <c r="J145" i="3"/>
  <c r="J140" i="31"/>
  <c r="G141" i="28"/>
  <c r="I141" i="28" s="1"/>
  <c r="D142" i="28"/>
  <c r="J141" i="27"/>
  <c r="J139" i="30"/>
  <c r="G146" i="4"/>
  <c r="D147" i="4"/>
  <c r="G145" i="22"/>
  <c r="I145" i="22" s="1"/>
  <c r="D146" i="22"/>
  <c r="G148" i="9"/>
  <c r="I148" i="9" s="1"/>
  <c r="D149" i="9"/>
  <c r="J140" i="29"/>
  <c r="G140" i="30"/>
  <c r="I140" i="30" s="1"/>
  <c r="D141" i="30"/>
  <c r="G149" i="7"/>
  <c r="I149" i="7" s="1"/>
  <c r="D150" i="7"/>
  <c r="G141" i="29"/>
  <c r="I141" i="29" s="1"/>
  <c r="D142" i="29"/>
  <c r="G147" i="8"/>
  <c r="I147" i="8" s="1"/>
  <c r="D148" i="8"/>
  <c r="G147" i="6"/>
  <c r="I147" i="6" s="1"/>
  <c r="D148" i="6"/>
  <c r="G142" i="27"/>
  <c r="I142" i="27" s="1"/>
  <c r="D143" i="27"/>
  <c r="G141" i="31"/>
  <c r="I141" i="31" s="1"/>
  <c r="D142" i="31"/>
  <c r="G143" i="24"/>
  <c r="I143" i="24" s="1"/>
  <c r="D144" i="24"/>
  <c r="G146" i="3"/>
  <c r="D147" i="3"/>
  <c r="G138" i="37"/>
  <c r="I138" i="37" s="1"/>
  <c r="D139" i="37"/>
  <c r="G138" i="43"/>
  <c r="I138" i="43" s="1"/>
  <c r="D139" i="43"/>
  <c r="E139" i="43"/>
  <c r="J148" i="10"/>
  <c r="D141" i="47" l="1"/>
  <c r="G140" i="47"/>
  <c r="E141" i="47"/>
  <c r="G143" i="45"/>
  <c r="I143" i="45" s="1"/>
  <c r="B143" i="45"/>
  <c r="D143" i="46"/>
  <c r="E143" i="46" s="1"/>
  <c r="F143" i="46" s="1"/>
  <c r="G142" i="46"/>
  <c r="I142" i="46" s="1"/>
  <c r="H143" i="45"/>
  <c r="E144" i="45"/>
  <c r="F144" i="45" s="1"/>
  <c r="D145" i="45" s="1"/>
  <c r="E145" i="45" s="1"/>
  <c r="F145" i="45" s="1"/>
  <c r="D146" i="45" s="1"/>
  <c r="D144" i="38"/>
  <c r="E144" i="38" s="1"/>
  <c r="F144" i="38" s="1"/>
  <c r="D145" i="38" s="1"/>
  <c r="E146" i="22"/>
  <c r="F146" i="22" s="1"/>
  <c r="H146" i="22" s="1"/>
  <c r="E143" i="27"/>
  <c r="F143" i="27" s="1"/>
  <c r="H143" i="27" s="1"/>
  <c r="E150" i="7"/>
  <c r="F150" i="7" s="1"/>
  <c r="H150" i="7" s="1"/>
  <c r="E138" i="40"/>
  <c r="F138" i="40" s="1"/>
  <c r="H138" i="40" s="1"/>
  <c r="E147" i="5"/>
  <c r="F147" i="5" s="1"/>
  <c r="H147" i="5" s="1"/>
  <c r="E145" i="23"/>
  <c r="F145" i="23" s="1"/>
  <c r="H145" i="23" s="1"/>
  <c r="B143" i="42"/>
  <c r="E148" i="8"/>
  <c r="E149" i="9"/>
  <c r="F149" i="9" s="1"/>
  <c r="H149" i="9" s="1"/>
  <c r="E147" i="4"/>
  <c r="F147" i="4" s="1"/>
  <c r="H147" i="4" s="1"/>
  <c r="E142" i="28"/>
  <c r="F142" i="28" s="1"/>
  <c r="H142" i="28" s="1"/>
  <c r="E149" i="11"/>
  <c r="E148" i="6"/>
  <c r="F148" i="6" s="1"/>
  <c r="H148" i="6" s="1"/>
  <c r="E142" i="29"/>
  <c r="F142" i="29" s="1"/>
  <c r="H142" i="29" s="1"/>
  <c r="E141" i="30"/>
  <c r="F141" i="30" s="1"/>
  <c r="H141" i="30" s="1"/>
  <c r="E146" i="25"/>
  <c r="E150" i="10"/>
  <c r="F150" i="10" s="1"/>
  <c r="H150" i="10" s="1"/>
  <c r="H143" i="41"/>
  <c r="G143" i="41"/>
  <c r="I143" i="41" s="1"/>
  <c r="E142" i="31"/>
  <c r="F142" i="31" s="1"/>
  <c r="H142" i="31" s="1"/>
  <c r="E139" i="37"/>
  <c r="F139" i="37" s="1"/>
  <c r="H139" i="37" s="1"/>
  <c r="B144" i="38"/>
  <c r="G143" i="38"/>
  <c r="I143" i="38" s="1"/>
  <c r="E144" i="24"/>
  <c r="F144" i="24" s="1"/>
  <c r="H144" i="24" s="1"/>
  <c r="E147" i="44"/>
  <c r="F147" i="44" s="1"/>
  <c r="H147" i="44" s="1"/>
  <c r="B147" i="44"/>
  <c r="E143" i="42"/>
  <c r="F143" i="42" s="1"/>
  <c r="D144" i="42" s="1"/>
  <c r="E144" i="41"/>
  <c r="F144" i="41" s="1"/>
  <c r="H144" i="41" s="1"/>
  <c r="B144" i="41"/>
  <c r="B147" i="3"/>
  <c r="B143" i="27"/>
  <c r="B139" i="43"/>
  <c r="F139" i="43"/>
  <c r="H139" i="43" s="1"/>
  <c r="B142" i="31"/>
  <c r="B142" i="29"/>
  <c r="B147" i="4"/>
  <c r="B147" i="5"/>
  <c r="B139" i="37"/>
  <c r="I146" i="3"/>
  <c r="E147" i="3"/>
  <c r="F147" i="3" s="1"/>
  <c r="H147" i="3" s="1"/>
  <c r="B144" i="24"/>
  <c r="B148" i="8"/>
  <c r="F148" i="8"/>
  <c r="H148" i="8" s="1"/>
  <c r="B146" i="22"/>
  <c r="I146" i="4"/>
  <c r="B142" i="28"/>
  <c r="B146" i="25"/>
  <c r="F146" i="25"/>
  <c r="H146" i="25" s="1"/>
  <c r="I146" i="5"/>
  <c r="B148" i="6"/>
  <c r="B141" i="30"/>
  <c r="B149" i="9"/>
  <c r="B149" i="11"/>
  <c r="F149" i="11"/>
  <c r="H149" i="11" s="1"/>
  <c r="B138" i="40"/>
  <c r="B145" i="23"/>
  <c r="B150" i="7"/>
  <c r="B139" i="39"/>
  <c r="F139" i="39"/>
  <c r="H139" i="39" s="1"/>
  <c r="B150" i="10"/>
  <c r="H140" i="47" l="1"/>
  <c r="I140" i="47"/>
  <c r="B141" i="47"/>
  <c r="F141" i="47"/>
  <c r="G143" i="46"/>
  <c r="I143" i="46" s="1"/>
  <c r="D144" i="46"/>
  <c r="E144" i="46" s="1"/>
  <c r="B143" i="46"/>
  <c r="H143" i="46"/>
  <c r="G145" i="45"/>
  <c r="I145" i="45" s="1"/>
  <c r="H145" i="45"/>
  <c r="B145" i="45"/>
  <c r="G144" i="45"/>
  <c r="I144" i="45" s="1"/>
  <c r="H144" i="45"/>
  <c r="E146" i="45"/>
  <c r="F146" i="45" s="1"/>
  <c r="H146" i="45" s="1"/>
  <c r="B146" i="45"/>
  <c r="H143" i="42"/>
  <c r="B145" i="38"/>
  <c r="H144" i="38"/>
  <c r="G144" i="38"/>
  <c r="I144" i="38" s="1"/>
  <c r="D148" i="44"/>
  <c r="G147" i="44"/>
  <c r="I147" i="44" s="1"/>
  <c r="G143" i="42"/>
  <c r="I143" i="42" s="1"/>
  <c r="J146" i="4"/>
  <c r="J141" i="29"/>
  <c r="J141" i="31"/>
  <c r="E145" i="38"/>
  <c r="F145" i="38" s="1"/>
  <c r="D146" i="38" s="1"/>
  <c r="E144" i="42"/>
  <c r="F144" i="42" s="1"/>
  <c r="H144" i="42" s="1"/>
  <c r="B144" i="42"/>
  <c r="D145" i="41"/>
  <c r="G144" i="41"/>
  <c r="I144" i="41" s="1"/>
  <c r="J146" i="5"/>
  <c r="J146" i="3"/>
  <c r="J149" i="10"/>
  <c r="J149" i="7"/>
  <c r="D148" i="3"/>
  <c r="G147" i="3"/>
  <c r="D150" i="11"/>
  <c r="G149" i="11"/>
  <c r="I149" i="11" s="1"/>
  <c r="G141" i="30"/>
  <c r="I141" i="30" s="1"/>
  <c r="D142" i="30"/>
  <c r="G146" i="25"/>
  <c r="I146" i="25" s="1"/>
  <c r="D147" i="25"/>
  <c r="J140" i="30"/>
  <c r="G139" i="37"/>
  <c r="I139" i="37" s="1"/>
  <c r="D140" i="37"/>
  <c r="G147" i="5"/>
  <c r="D148" i="5"/>
  <c r="G147" i="4"/>
  <c r="D148" i="4"/>
  <c r="G142" i="29"/>
  <c r="I142" i="29" s="1"/>
  <c r="D143" i="29"/>
  <c r="G142" i="31"/>
  <c r="I142" i="31" s="1"/>
  <c r="D143" i="31"/>
  <c r="G139" i="43"/>
  <c r="I139" i="43" s="1"/>
  <c r="D140" i="43"/>
  <c r="G143" i="27"/>
  <c r="I143" i="27" s="1"/>
  <c r="D144" i="27"/>
  <c r="G142" i="28"/>
  <c r="I142" i="28" s="1"/>
  <c r="D143" i="28"/>
  <c r="G148" i="6"/>
  <c r="I148" i="6" s="1"/>
  <c r="D149" i="6"/>
  <c r="G150" i="10"/>
  <c r="I150" i="10" s="1"/>
  <c r="D151" i="10"/>
  <c r="G139" i="39"/>
  <c r="I139" i="39" s="1"/>
  <c r="D140" i="39"/>
  <c r="G150" i="7"/>
  <c r="I150" i="7" s="1"/>
  <c r="D151" i="7"/>
  <c r="G145" i="23"/>
  <c r="I145" i="23" s="1"/>
  <c r="D146" i="23"/>
  <c r="G138" i="40"/>
  <c r="I138" i="40" s="1"/>
  <c r="D139" i="40"/>
  <c r="J141" i="28"/>
  <c r="G149" i="9"/>
  <c r="I149" i="9" s="1"/>
  <c r="D150" i="9"/>
  <c r="J147" i="8"/>
  <c r="G146" i="22"/>
  <c r="I146" i="22" s="1"/>
  <c r="D147" i="22"/>
  <c r="G148" i="8"/>
  <c r="I148" i="8" s="1"/>
  <c r="D149" i="8"/>
  <c r="D145" i="24"/>
  <c r="G144" i="24"/>
  <c r="I144" i="24" s="1"/>
  <c r="J142" i="27"/>
  <c r="J147" i="6"/>
  <c r="D142" i="47" l="1"/>
  <c r="G141" i="47"/>
  <c r="E142" i="47"/>
  <c r="B144" i="46"/>
  <c r="F144" i="46"/>
  <c r="H144" i="46" s="1"/>
  <c r="D147" i="45"/>
  <c r="E147" i="45" s="1"/>
  <c r="F147" i="45" s="1"/>
  <c r="G146" i="45"/>
  <c r="I146" i="45" s="1"/>
  <c r="E147" i="22"/>
  <c r="F147" i="22" s="1"/>
  <c r="H147" i="22" s="1"/>
  <c r="E140" i="39"/>
  <c r="F140" i="39" s="1"/>
  <c r="H140" i="39" s="1"/>
  <c r="E148" i="4"/>
  <c r="F148" i="4" s="1"/>
  <c r="H148" i="4" s="1"/>
  <c r="E142" i="30"/>
  <c r="F142" i="30" s="1"/>
  <c r="H142" i="30" s="1"/>
  <c r="E149" i="6"/>
  <c r="E139" i="40"/>
  <c r="F139" i="40" s="1"/>
  <c r="H139" i="40" s="1"/>
  <c r="E143" i="28"/>
  <c r="F143" i="28" s="1"/>
  <c r="H143" i="28" s="1"/>
  <c r="E143" i="29"/>
  <c r="F143" i="29" s="1"/>
  <c r="H143" i="29" s="1"/>
  <c r="E148" i="5"/>
  <c r="E148" i="3"/>
  <c r="F148" i="3" s="1"/>
  <c r="H148" i="3" s="1"/>
  <c r="E146" i="23"/>
  <c r="F146" i="23" s="1"/>
  <c r="H146" i="23" s="1"/>
  <c r="E144" i="27"/>
  <c r="F144" i="27" s="1"/>
  <c r="H144" i="27" s="1"/>
  <c r="E149" i="8"/>
  <c r="E151" i="10"/>
  <c r="F151" i="10" s="1"/>
  <c r="H151" i="10" s="1"/>
  <c r="E140" i="43"/>
  <c r="F140" i="43" s="1"/>
  <c r="H140" i="43" s="1"/>
  <c r="E150" i="9"/>
  <c r="E147" i="25"/>
  <c r="E143" i="31"/>
  <c r="F143" i="31" s="1"/>
  <c r="H143" i="31" s="1"/>
  <c r="E140" i="37"/>
  <c r="F140" i="37" s="1"/>
  <c r="H140" i="37" s="1"/>
  <c r="B146" i="38"/>
  <c r="H145" i="38"/>
  <c r="E145" i="24"/>
  <c r="E148" i="44"/>
  <c r="F148" i="44" s="1"/>
  <c r="H148" i="44" s="1"/>
  <c r="B148" i="44"/>
  <c r="G145" i="38"/>
  <c r="I145" i="38" s="1"/>
  <c r="E146" i="38"/>
  <c r="F146" i="38" s="1"/>
  <c r="D147" i="38" s="1"/>
  <c r="G144" i="42"/>
  <c r="I144" i="42" s="1"/>
  <c r="D145" i="42"/>
  <c r="E145" i="41"/>
  <c r="F145" i="41" s="1"/>
  <c r="H145" i="41" s="1"/>
  <c r="B145" i="41"/>
  <c r="B151" i="7"/>
  <c r="B143" i="28"/>
  <c r="B143" i="29"/>
  <c r="I147" i="4"/>
  <c r="B142" i="30"/>
  <c r="B150" i="11"/>
  <c r="B145" i="24"/>
  <c r="F145" i="24"/>
  <c r="H145" i="24" s="1"/>
  <c r="B146" i="23"/>
  <c r="B149" i="6"/>
  <c r="F149" i="6"/>
  <c r="H149" i="6" s="1"/>
  <c r="B143" i="31"/>
  <c r="B140" i="37"/>
  <c r="B147" i="25"/>
  <c r="F147" i="25"/>
  <c r="H147" i="25" s="1"/>
  <c r="B147" i="22"/>
  <c r="B150" i="9"/>
  <c r="F150" i="9"/>
  <c r="H150" i="9" s="1"/>
  <c r="B139" i="40"/>
  <c r="B151" i="10"/>
  <c r="B140" i="43"/>
  <c r="B148" i="5"/>
  <c r="F148" i="5"/>
  <c r="H148" i="5" s="1"/>
  <c r="E150" i="11"/>
  <c r="F150" i="11" s="1"/>
  <c r="H150" i="11" s="1"/>
  <c r="I147" i="3"/>
  <c r="B149" i="8"/>
  <c r="F149" i="8"/>
  <c r="H149" i="8" s="1"/>
  <c r="E151" i="7"/>
  <c r="F151" i="7" s="1"/>
  <c r="H151" i="7" s="1"/>
  <c r="B140" i="39"/>
  <c r="B144" i="27"/>
  <c r="B148" i="4"/>
  <c r="I147" i="5"/>
  <c r="B148" i="3"/>
  <c r="I141" i="47" l="1"/>
  <c r="H141" i="47"/>
  <c r="F142" i="47"/>
  <c r="B142" i="47"/>
  <c r="D145" i="46"/>
  <c r="B145" i="46" s="1"/>
  <c r="G144" i="46"/>
  <c r="I144" i="46" s="1"/>
  <c r="D148" i="45"/>
  <c r="B148" i="45" s="1"/>
  <c r="G147" i="45"/>
  <c r="I147" i="45" s="1"/>
  <c r="B147" i="45"/>
  <c r="H147" i="45"/>
  <c r="B145" i="42"/>
  <c r="B147" i="38"/>
  <c r="H146" i="38"/>
  <c r="D149" i="44"/>
  <c r="G148" i="44"/>
  <c r="I148" i="44" s="1"/>
  <c r="G146" i="38"/>
  <c r="I146" i="38" s="1"/>
  <c r="E145" i="42"/>
  <c r="F145" i="42" s="1"/>
  <c r="G145" i="42" s="1"/>
  <c r="I145" i="42" s="1"/>
  <c r="J147" i="3"/>
  <c r="E147" i="38"/>
  <c r="F147" i="38" s="1"/>
  <c r="H147" i="38" s="1"/>
  <c r="G145" i="41"/>
  <c r="I145" i="41" s="1"/>
  <c r="D146" i="41"/>
  <c r="J147" i="4"/>
  <c r="J143" i="27"/>
  <c r="J148" i="8"/>
  <c r="J142" i="31"/>
  <c r="J148" i="6"/>
  <c r="J141" i="30"/>
  <c r="G151" i="7"/>
  <c r="I151" i="7" s="1"/>
  <c r="D152" i="7"/>
  <c r="D151" i="11"/>
  <c r="G150" i="11"/>
  <c r="I150" i="11" s="1"/>
  <c r="G148" i="4"/>
  <c r="D149" i="4"/>
  <c r="G144" i="27"/>
  <c r="I144" i="27" s="1"/>
  <c r="D145" i="27"/>
  <c r="G140" i="39"/>
  <c r="I140" i="39" s="1"/>
  <c r="D141" i="39"/>
  <c r="G150" i="9"/>
  <c r="I150" i="9" s="1"/>
  <c r="D151" i="9"/>
  <c r="G140" i="37"/>
  <c r="I140" i="37" s="1"/>
  <c r="D141" i="37"/>
  <c r="G143" i="31"/>
  <c r="I143" i="31" s="1"/>
  <c r="D144" i="31"/>
  <c r="G149" i="6"/>
  <c r="I149" i="6" s="1"/>
  <c r="D150" i="6"/>
  <c r="G146" i="23"/>
  <c r="I146" i="23" s="1"/>
  <c r="D147" i="23"/>
  <c r="G149" i="8"/>
  <c r="I149" i="8" s="1"/>
  <c r="D150" i="8"/>
  <c r="G148" i="3"/>
  <c r="D149" i="3"/>
  <c r="J147" i="5"/>
  <c r="J150" i="10"/>
  <c r="G148" i="5"/>
  <c r="D149" i="5"/>
  <c r="G140" i="43"/>
  <c r="I140" i="43" s="1"/>
  <c r="D141" i="43"/>
  <c r="G151" i="10"/>
  <c r="I151" i="10" s="1"/>
  <c r="D152" i="10"/>
  <c r="G139" i="40"/>
  <c r="I139" i="40" s="1"/>
  <c r="D140" i="40"/>
  <c r="G147" i="22"/>
  <c r="I147" i="22" s="1"/>
  <c r="D148" i="22"/>
  <c r="G147" i="25"/>
  <c r="I147" i="25" s="1"/>
  <c r="D148" i="25"/>
  <c r="J142" i="29"/>
  <c r="J142" i="28"/>
  <c r="J150" i="7"/>
  <c r="G145" i="24"/>
  <c r="I145" i="24" s="1"/>
  <c r="D146" i="24"/>
  <c r="G142" i="30"/>
  <c r="I142" i="30" s="1"/>
  <c r="D143" i="30"/>
  <c r="G143" i="29"/>
  <c r="I143" i="29" s="1"/>
  <c r="D144" i="29"/>
  <c r="D144" i="28"/>
  <c r="G143" i="28"/>
  <c r="I143" i="28" s="1"/>
  <c r="E145" i="46" l="1"/>
  <c r="F145" i="46" s="1"/>
  <c r="G142" i="47"/>
  <c r="D143" i="47"/>
  <c r="E143" i="47" s="1"/>
  <c r="H145" i="46"/>
  <c r="G145" i="46"/>
  <c r="I145" i="46" s="1"/>
  <c r="D146" i="46"/>
  <c r="E146" i="46" s="1"/>
  <c r="E148" i="45"/>
  <c r="F148" i="45" s="1"/>
  <c r="H148" i="45" s="1"/>
  <c r="E144" i="29"/>
  <c r="F144" i="29" s="1"/>
  <c r="H144" i="29" s="1"/>
  <c r="E151" i="11"/>
  <c r="F151" i="11" s="1"/>
  <c r="H151" i="11" s="1"/>
  <c r="E140" i="40"/>
  <c r="F140" i="40" s="1"/>
  <c r="H140" i="40" s="1"/>
  <c r="E150" i="6"/>
  <c r="F150" i="6" s="1"/>
  <c r="H150" i="6" s="1"/>
  <c r="E141" i="39"/>
  <c r="F141" i="39" s="1"/>
  <c r="H141" i="39" s="1"/>
  <c r="E152" i="7"/>
  <c r="F152" i="7" s="1"/>
  <c r="H152" i="7" s="1"/>
  <c r="E148" i="25"/>
  <c r="F148" i="25" s="1"/>
  <c r="H148" i="25" s="1"/>
  <c r="E141" i="43"/>
  <c r="F141" i="43" s="1"/>
  <c r="H141" i="43" s="1"/>
  <c r="E143" i="30"/>
  <c r="F143" i="30" s="1"/>
  <c r="H143" i="30" s="1"/>
  <c r="H145" i="42"/>
  <c r="E144" i="28"/>
  <c r="F144" i="28" s="1"/>
  <c r="H144" i="28" s="1"/>
  <c r="E152" i="10"/>
  <c r="F152" i="10" s="1"/>
  <c r="H152" i="10" s="1"/>
  <c r="E149" i="3"/>
  <c r="F149" i="3" s="1"/>
  <c r="H149" i="3" s="1"/>
  <c r="E147" i="23"/>
  <c r="F147" i="23" s="1"/>
  <c r="H147" i="23" s="1"/>
  <c r="E151" i="9"/>
  <c r="F151" i="9" s="1"/>
  <c r="H151" i="9" s="1"/>
  <c r="E145" i="27"/>
  <c r="F145" i="27" s="1"/>
  <c r="H145" i="27" s="1"/>
  <c r="E144" i="31"/>
  <c r="F144" i="31" s="1"/>
  <c r="H144" i="31" s="1"/>
  <c r="E141" i="37"/>
  <c r="F141" i="37" s="1"/>
  <c r="H141" i="37" s="1"/>
  <c r="E146" i="24"/>
  <c r="F146" i="24" s="1"/>
  <c r="H146" i="24" s="1"/>
  <c r="D146" i="42"/>
  <c r="E149" i="44"/>
  <c r="F149" i="44" s="1"/>
  <c r="H149" i="44" s="1"/>
  <c r="B149" i="44"/>
  <c r="E146" i="41"/>
  <c r="F146" i="41" s="1"/>
  <c r="H146" i="41" s="1"/>
  <c r="B146" i="41"/>
  <c r="D148" i="38"/>
  <c r="G147" i="38"/>
  <c r="I147" i="38" s="1"/>
  <c r="B143" i="30"/>
  <c r="B148" i="22"/>
  <c r="B149" i="5"/>
  <c r="B150" i="8"/>
  <c r="B141" i="37"/>
  <c r="B149" i="4"/>
  <c r="B151" i="11"/>
  <c r="B149" i="3"/>
  <c r="B144" i="31"/>
  <c r="B145" i="27"/>
  <c r="I148" i="4"/>
  <c r="B144" i="29"/>
  <c r="B141" i="43"/>
  <c r="I148" i="5"/>
  <c r="B152" i="10"/>
  <c r="I148" i="3"/>
  <c r="B150" i="6"/>
  <c r="B141" i="39"/>
  <c r="B152" i="7"/>
  <c r="B148" i="25"/>
  <c r="B144" i="28"/>
  <c r="B146" i="24"/>
  <c r="E148" i="22"/>
  <c r="F148" i="22" s="1"/>
  <c r="H148" i="22" s="1"/>
  <c r="B140" i="40"/>
  <c r="E149" i="5"/>
  <c r="F149" i="5" s="1"/>
  <c r="H149" i="5" s="1"/>
  <c r="E150" i="8"/>
  <c r="F150" i="8" s="1"/>
  <c r="H150" i="8" s="1"/>
  <c r="B147" i="23"/>
  <c r="B151" i="9"/>
  <c r="E149" i="4"/>
  <c r="F149" i="4" s="1"/>
  <c r="H149" i="4" s="1"/>
  <c r="G148" i="45" l="1"/>
  <c r="I148" i="45" s="1"/>
  <c r="F143" i="47"/>
  <c r="B143" i="47"/>
  <c r="H142" i="47"/>
  <c r="I142" i="47"/>
  <c r="B146" i="46"/>
  <c r="F146" i="46"/>
  <c r="H146" i="46" s="1"/>
  <c r="D149" i="45"/>
  <c r="B149" i="45" s="1"/>
  <c r="E146" i="42"/>
  <c r="F146" i="42" s="1"/>
  <c r="H146" i="42" s="1"/>
  <c r="D150" i="44"/>
  <c r="G149" i="44"/>
  <c r="I149" i="44" s="1"/>
  <c r="B146" i="42"/>
  <c r="D147" i="42"/>
  <c r="D147" i="41"/>
  <c r="G146" i="41"/>
  <c r="I146" i="41" s="1"/>
  <c r="E148" i="38"/>
  <c r="F148" i="38" s="1"/>
  <c r="H148" i="38" s="1"/>
  <c r="B148" i="38"/>
  <c r="J142" i="30"/>
  <c r="J151" i="7"/>
  <c r="J144" i="27"/>
  <c r="J143" i="31"/>
  <c r="J148" i="3"/>
  <c r="G148" i="22"/>
  <c r="I148" i="22" s="1"/>
  <c r="D149" i="22"/>
  <c r="G149" i="4"/>
  <c r="D150" i="4"/>
  <c r="G150" i="8"/>
  <c r="I150" i="8" s="1"/>
  <c r="D151" i="8"/>
  <c r="G149" i="5"/>
  <c r="D150" i="5"/>
  <c r="J151" i="10"/>
  <c r="G146" i="24"/>
  <c r="I146" i="24" s="1"/>
  <c r="D147" i="24"/>
  <c r="G148" i="25"/>
  <c r="I148" i="25" s="1"/>
  <c r="D149" i="25"/>
  <c r="G152" i="10"/>
  <c r="I152" i="10" s="1"/>
  <c r="D153" i="10"/>
  <c r="J143" i="29"/>
  <c r="J148" i="5"/>
  <c r="G144" i="29"/>
  <c r="I144" i="29" s="1"/>
  <c r="D145" i="29"/>
  <c r="G145" i="27"/>
  <c r="I145" i="27" s="1"/>
  <c r="D146" i="27"/>
  <c r="G149" i="3"/>
  <c r="D150" i="3"/>
  <c r="G141" i="37"/>
  <c r="I141" i="37" s="1"/>
  <c r="D142" i="37"/>
  <c r="G144" i="31"/>
  <c r="I144" i="31" s="1"/>
  <c r="D145" i="31"/>
  <c r="G140" i="40"/>
  <c r="I140" i="40" s="1"/>
  <c r="D141" i="40"/>
  <c r="J149" i="6"/>
  <c r="G144" i="28"/>
  <c r="I144" i="28" s="1"/>
  <c r="D145" i="28"/>
  <c r="D153" i="7"/>
  <c r="G152" i="7"/>
  <c r="I152" i="7" s="1"/>
  <c r="G141" i="39"/>
  <c r="I141" i="39" s="1"/>
  <c r="D142" i="39"/>
  <c r="G150" i="6"/>
  <c r="I150" i="6" s="1"/>
  <c r="D151" i="6"/>
  <c r="J143" i="28"/>
  <c r="G141" i="43"/>
  <c r="I141" i="43" s="1"/>
  <c r="D142" i="43"/>
  <c r="J148" i="4"/>
  <c r="J149" i="8"/>
  <c r="G151" i="11"/>
  <c r="I151" i="11" s="1"/>
  <c r="D152" i="11"/>
  <c r="G143" i="30"/>
  <c r="I143" i="30" s="1"/>
  <c r="D144" i="30"/>
  <c r="D152" i="9"/>
  <c r="G151" i="9"/>
  <c r="I151" i="9" s="1"/>
  <c r="G147" i="23"/>
  <c r="I147" i="23" s="1"/>
  <c r="D148" i="23"/>
  <c r="D144" i="47" l="1"/>
  <c r="G143" i="47"/>
  <c r="E144" i="47"/>
  <c r="G146" i="46"/>
  <c r="I146" i="46" s="1"/>
  <c r="D147" i="46"/>
  <c r="E149" i="45"/>
  <c r="F149" i="45" s="1"/>
  <c r="H149" i="45" s="1"/>
  <c r="G149" i="45"/>
  <c r="I149" i="45" s="1"/>
  <c r="G146" i="42"/>
  <c r="I146" i="42" s="1"/>
  <c r="E152" i="11"/>
  <c r="E146" i="27"/>
  <c r="F146" i="27" s="1"/>
  <c r="H146" i="27" s="1"/>
  <c r="E142" i="39"/>
  <c r="E145" i="28"/>
  <c r="F145" i="28" s="1"/>
  <c r="H145" i="28" s="1"/>
  <c r="E150" i="5"/>
  <c r="F150" i="5" s="1"/>
  <c r="H150" i="5" s="1"/>
  <c r="E150" i="4"/>
  <c r="F150" i="4" s="1"/>
  <c r="H150" i="4" s="1"/>
  <c r="E142" i="43"/>
  <c r="F142" i="43" s="1"/>
  <c r="H142" i="43" s="1"/>
  <c r="E141" i="40"/>
  <c r="F141" i="40" s="1"/>
  <c r="H141" i="40" s="1"/>
  <c r="E149" i="25"/>
  <c r="F149" i="25" s="1"/>
  <c r="H149" i="25" s="1"/>
  <c r="E144" i="30"/>
  <c r="E145" i="29"/>
  <c r="F145" i="29" s="1"/>
  <c r="H145" i="29" s="1"/>
  <c r="E153" i="10"/>
  <c r="F153" i="10" s="1"/>
  <c r="H153" i="10" s="1"/>
  <c r="E152" i="9"/>
  <c r="F152" i="9" s="1"/>
  <c r="H152" i="9" s="1"/>
  <c r="E151" i="6"/>
  <c r="E149" i="22"/>
  <c r="F149" i="22" s="1"/>
  <c r="H149" i="22" s="1"/>
  <c r="B150" i="44"/>
  <c r="E145" i="31"/>
  <c r="F145" i="31" s="1"/>
  <c r="H145" i="31" s="1"/>
  <c r="E142" i="37"/>
  <c r="F142" i="37" s="1"/>
  <c r="H142" i="37" s="1"/>
  <c r="E147" i="24"/>
  <c r="F147" i="24" s="1"/>
  <c r="H147" i="24" s="1"/>
  <c r="E150" i="44"/>
  <c r="F150" i="44" s="1"/>
  <c r="G150" i="44" s="1"/>
  <c r="I150" i="44" s="1"/>
  <c r="E147" i="41"/>
  <c r="F147" i="41" s="1"/>
  <c r="H147" i="41" s="1"/>
  <c r="B147" i="41"/>
  <c r="D149" i="38"/>
  <c r="G148" i="38"/>
  <c r="I148" i="38" s="1"/>
  <c r="E147" i="42"/>
  <c r="F147" i="42" s="1"/>
  <c r="H147" i="42" s="1"/>
  <c r="B147" i="42"/>
  <c r="B148" i="23"/>
  <c r="B152" i="9"/>
  <c r="B150" i="3"/>
  <c r="B151" i="8"/>
  <c r="I149" i="4"/>
  <c r="B152" i="11"/>
  <c r="F152" i="11"/>
  <c r="H152" i="11" s="1"/>
  <c r="B142" i="39"/>
  <c r="F142" i="39"/>
  <c r="H142" i="39" s="1"/>
  <c r="B153" i="7"/>
  <c r="B142" i="37"/>
  <c r="I149" i="3"/>
  <c r="B147" i="24"/>
  <c r="B150" i="5"/>
  <c r="B142" i="43"/>
  <c r="B151" i="6"/>
  <c r="F151" i="6"/>
  <c r="H151" i="6" s="1"/>
  <c r="B145" i="31"/>
  <c r="B145" i="29"/>
  <c r="B149" i="25"/>
  <c r="I149" i="5"/>
  <c r="B149" i="22"/>
  <c r="B144" i="30"/>
  <c r="F144" i="30"/>
  <c r="H144" i="30" s="1"/>
  <c r="E148" i="23"/>
  <c r="F148" i="23" s="1"/>
  <c r="H148" i="23" s="1"/>
  <c r="E153" i="7"/>
  <c r="F153" i="7" s="1"/>
  <c r="H153" i="7" s="1"/>
  <c r="B145" i="28"/>
  <c r="B141" i="40"/>
  <c r="E150" i="3"/>
  <c r="F150" i="3" s="1"/>
  <c r="H150" i="3" s="1"/>
  <c r="B146" i="27"/>
  <c r="B153" i="10"/>
  <c r="E151" i="8"/>
  <c r="F151" i="8" s="1"/>
  <c r="H151" i="8" s="1"/>
  <c r="B150" i="4"/>
  <c r="D150" i="45" l="1"/>
  <c r="B150" i="45" s="1"/>
  <c r="H143" i="47"/>
  <c r="I143" i="47"/>
  <c r="F144" i="47"/>
  <c r="B144" i="47"/>
  <c r="B147" i="46"/>
  <c r="E147" i="46"/>
  <c r="F147" i="46" s="1"/>
  <c r="E150" i="45"/>
  <c r="F150" i="45" s="1"/>
  <c r="H150" i="44"/>
  <c r="D151" i="44"/>
  <c r="B151" i="44" s="1"/>
  <c r="J144" i="29"/>
  <c r="E149" i="38"/>
  <c r="F149" i="38" s="1"/>
  <c r="H149" i="38" s="1"/>
  <c r="B149" i="38"/>
  <c r="G147" i="42"/>
  <c r="I147" i="42" s="1"/>
  <c r="D148" i="42"/>
  <c r="G147" i="41"/>
  <c r="I147" i="41" s="1"/>
  <c r="D148" i="41"/>
  <c r="J150" i="6"/>
  <c r="J143" i="30"/>
  <c r="J145" i="27"/>
  <c r="J144" i="31"/>
  <c r="J152" i="10"/>
  <c r="J150" i="8"/>
  <c r="G151" i="8"/>
  <c r="I151" i="8" s="1"/>
  <c r="D152" i="8"/>
  <c r="G153" i="7"/>
  <c r="I153" i="7" s="1"/>
  <c r="D154" i="7"/>
  <c r="E154" i="7" s="1"/>
  <c r="E155" i="7" s="1"/>
  <c r="G148" i="23"/>
  <c r="I148" i="23" s="1"/>
  <c r="D149" i="23"/>
  <c r="D151" i="3"/>
  <c r="G150" i="3"/>
  <c r="G153" i="10"/>
  <c r="I153" i="10" s="1"/>
  <c r="D154" i="10"/>
  <c r="E154" i="10" s="1"/>
  <c r="E155" i="10" s="1"/>
  <c r="G141" i="40"/>
  <c r="I141" i="40" s="1"/>
  <c r="D142" i="40"/>
  <c r="G144" i="30"/>
  <c r="I144" i="30" s="1"/>
  <c r="D145" i="30"/>
  <c r="J149" i="5"/>
  <c r="G149" i="25"/>
  <c r="I149" i="25" s="1"/>
  <c r="D150" i="25"/>
  <c r="G142" i="43"/>
  <c r="I142" i="43" s="1"/>
  <c r="D143" i="43"/>
  <c r="G150" i="5"/>
  <c r="D151" i="5"/>
  <c r="J149" i="3"/>
  <c r="G152" i="11"/>
  <c r="I152" i="11" s="1"/>
  <c r="D153" i="11"/>
  <c r="J152" i="7"/>
  <c r="G150" i="4"/>
  <c r="D151" i="4"/>
  <c r="G145" i="28"/>
  <c r="I145" i="28" s="1"/>
  <c r="D146" i="28"/>
  <c r="G149" i="22"/>
  <c r="I149" i="22" s="1"/>
  <c r="D150" i="22"/>
  <c r="G145" i="29"/>
  <c r="I145" i="29" s="1"/>
  <c r="D146" i="29"/>
  <c r="G145" i="31"/>
  <c r="I145" i="31" s="1"/>
  <c r="D146" i="31"/>
  <c r="D152" i="6"/>
  <c r="G151" i="6"/>
  <c r="I151" i="6" s="1"/>
  <c r="G147" i="24"/>
  <c r="I147" i="24" s="1"/>
  <c r="D148" i="24"/>
  <c r="G142" i="37"/>
  <c r="I142" i="37" s="1"/>
  <c r="D143" i="37"/>
  <c r="G142" i="39"/>
  <c r="I142" i="39" s="1"/>
  <c r="D143" i="39"/>
  <c r="J149" i="4"/>
  <c r="J144" i="28"/>
  <c r="D153" i="9"/>
  <c r="G152" i="9"/>
  <c r="I152" i="9" s="1"/>
  <c r="G146" i="27"/>
  <c r="I146" i="27" s="1"/>
  <c r="D147" i="27"/>
  <c r="D145" i="47" l="1"/>
  <c r="G144" i="47"/>
  <c r="E145" i="47"/>
  <c r="G147" i="46"/>
  <c r="I147" i="46" s="1"/>
  <c r="D148" i="46"/>
  <c r="E148" i="46" s="1"/>
  <c r="F148" i="46" s="1"/>
  <c r="H147" i="46"/>
  <c r="G150" i="45"/>
  <c r="I150" i="45" s="1"/>
  <c r="H150" i="45"/>
  <c r="D151" i="45"/>
  <c r="E146" i="29"/>
  <c r="E153" i="11"/>
  <c r="F153" i="11" s="1"/>
  <c r="H153" i="11" s="1"/>
  <c r="E142" i="40"/>
  <c r="F142" i="40" s="1"/>
  <c r="H142" i="40" s="1"/>
  <c r="E147" i="27"/>
  <c r="F147" i="27" s="1"/>
  <c r="H147" i="27" s="1"/>
  <c r="E146" i="28"/>
  <c r="E143" i="39"/>
  <c r="F143" i="39" s="1"/>
  <c r="H143" i="39" s="1"/>
  <c r="E151" i="4"/>
  <c r="F151" i="4" s="1"/>
  <c r="H151" i="4" s="1"/>
  <c r="E143" i="43"/>
  <c r="F143" i="43" s="1"/>
  <c r="H143" i="43" s="1"/>
  <c r="E151" i="3"/>
  <c r="F151" i="3" s="1"/>
  <c r="H151" i="3" s="1"/>
  <c r="E151" i="5"/>
  <c r="F151" i="5" s="1"/>
  <c r="H151" i="5" s="1"/>
  <c r="E152" i="6"/>
  <c r="F152" i="6" s="1"/>
  <c r="H152" i="6" s="1"/>
  <c r="E153" i="9"/>
  <c r="F153" i="9" s="1"/>
  <c r="H153" i="9" s="1"/>
  <c r="E145" i="30"/>
  <c r="F145" i="30" s="1"/>
  <c r="H145" i="30" s="1"/>
  <c r="E152" i="8"/>
  <c r="F152" i="8" s="1"/>
  <c r="H152" i="8" s="1"/>
  <c r="B148" i="41"/>
  <c r="E151" i="44"/>
  <c r="F151" i="44" s="1"/>
  <c r="H151" i="44" s="1"/>
  <c r="E146" i="31"/>
  <c r="F146" i="31" s="1"/>
  <c r="H146" i="31" s="1"/>
  <c r="E143" i="37"/>
  <c r="F143" i="37" s="1"/>
  <c r="H143" i="37" s="1"/>
  <c r="E148" i="41"/>
  <c r="F148" i="41" s="1"/>
  <c r="G148" i="41" s="1"/>
  <c r="I148" i="41" s="1"/>
  <c r="D150" i="38"/>
  <c r="G149" i="38"/>
  <c r="I149" i="38" s="1"/>
  <c r="E148" i="42"/>
  <c r="F148" i="42" s="1"/>
  <c r="H148" i="42" s="1"/>
  <c r="B148" i="42"/>
  <c r="B148" i="24"/>
  <c r="B152" i="6"/>
  <c r="B150" i="22"/>
  <c r="B150" i="25"/>
  <c r="B145" i="30"/>
  <c r="B149" i="23"/>
  <c r="B153" i="9"/>
  <c r="B143" i="37"/>
  <c r="B146" i="29"/>
  <c r="F146" i="29"/>
  <c r="H146" i="29" s="1"/>
  <c r="B143" i="43"/>
  <c r="I150" i="3"/>
  <c r="B143" i="39"/>
  <c r="B146" i="31"/>
  <c r="B153" i="11"/>
  <c r="B151" i="5"/>
  <c r="B154" i="10"/>
  <c r="F154" i="10"/>
  <c r="G154" i="10" s="1"/>
  <c r="B151" i="3"/>
  <c r="B152" i="8"/>
  <c r="B147" i="27"/>
  <c r="B151" i="4"/>
  <c r="E148" i="24"/>
  <c r="F148" i="24" s="1"/>
  <c r="H148" i="24" s="1"/>
  <c r="E150" i="22"/>
  <c r="F150" i="22" s="1"/>
  <c r="H150" i="22" s="1"/>
  <c r="B146" i="28"/>
  <c r="F146" i="28"/>
  <c r="H146" i="28" s="1"/>
  <c r="I150" i="4"/>
  <c r="I150" i="5"/>
  <c r="E150" i="25"/>
  <c r="F150" i="25" s="1"/>
  <c r="H150" i="25" s="1"/>
  <c r="B142" i="40"/>
  <c r="E149" i="23"/>
  <c r="F149" i="23" s="1"/>
  <c r="H149" i="23" s="1"/>
  <c r="B154" i="7"/>
  <c r="F154" i="7"/>
  <c r="G154" i="7" s="1"/>
  <c r="H144" i="47" l="1"/>
  <c r="I144" i="47"/>
  <c r="B145" i="47"/>
  <c r="F145" i="47"/>
  <c r="D149" i="46"/>
  <c r="G148" i="46"/>
  <c r="I148" i="46" s="1"/>
  <c r="E149" i="46"/>
  <c r="F149" i="46" s="1"/>
  <c r="B148" i="46"/>
  <c r="H148" i="46"/>
  <c r="E151" i="45"/>
  <c r="F151" i="45" s="1"/>
  <c r="H151" i="45" s="1"/>
  <c r="B151" i="45"/>
  <c r="D152" i="44"/>
  <c r="E152" i="44" s="1"/>
  <c r="F152" i="44" s="1"/>
  <c r="H152" i="44" s="1"/>
  <c r="H148" i="41"/>
  <c r="G151" i="44"/>
  <c r="I151" i="44" s="1"/>
  <c r="D149" i="41"/>
  <c r="G148" i="42"/>
  <c r="I148" i="42" s="1"/>
  <c r="D149" i="42"/>
  <c r="E150" i="38"/>
  <c r="F150" i="38" s="1"/>
  <c r="H150" i="38" s="1"/>
  <c r="B150" i="38"/>
  <c r="J151" i="6"/>
  <c r="J145" i="28"/>
  <c r="J153" i="10"/>
  <c r="J145" i="31"/>
  <c r="J153" i="7"/>
  <c r="G150" i="25"/>
  <c r="I150" i="25" s="1"/>
  <c r="D151" i="25"/>
  <c r="G149" i="23"/>
  <c r="I149" i="23" s="1"/>
  <c r="D150" i="23"/>
  <c r="G150" i="22"/>
  <c r="I150" i="22" s="1"/>
  <c r="D151" i="22"/>
  <c r="G148" i="24"/>
  <c r="I148" i="24" s="1"/>
  <c r="D149" i="24"/>
  <c r="J151" i="8"/>
  <c r="G146" i="28"/>
  <c r="I146" i="28" s="1"/>
  <c r="D147" i="28"/>
  <c r="G151" i="4"/>
  <c r="D152" i="4"/>
  <c r="G152" i="8"/>
  <c r="I152" i="8" s="1"/>
  <c r="D153" i="8"/>
  <c r="H154" i="10"/>
  <c r="H155" i="10" s="1"/>
  <c r="I154" i="10"/>
  <c r="G151" i="5"/>
  <c r="D152" i="5"/>
  <c r="J145" i="29"/>
  <c r="J144" i="30"/>
  <c r="G143" i="43"/>
  <c r="I143" i="43" s="1"/>
  <c r="D144" i="43"/>
  <c r="G146" i="29"/>
  <c r="I146" i="29" s="1"/>
  <c r="D147" i="29"/>
  <c r="G143" i="37"/>
  <c r="I143" i="37" s="1"/>
  <c r="D144" i="37"/>
  <c r="D154" i="9"/>
  <c r="G153" i="9"/>
  <c r="I153" i="9" s="1"/>
  <c r="G145" i="30"/>
  <c r="I145" i="30" s="1"/>
  <c r="D146" i="30"/>
  <c r="D153" i="6"/>
  <c r="G152" i="6"/>
  <c r="I152" i="6" s="1"/>
  <c r="I154" i="7"/>
  <c r="H154" i="7"/>
  <c r="H155" i="7" s="1"/>
  <c r="J150" i="5"/>
  <c r="J150" i="4"/>
  <c r="J146" i="27"/>
  <c r="G147" i="27"/>
  <c r="I147" i="27" s="1"/>
  <c r="D148" i="27"/>
  <c r="G151" i="3"/>
  <c r="D152" i="3"/>
  <c r="D154" i="11"/>
  <c r="E154" i="11" s="1"/>
  <c r="E155" i="11" s="1"/>
  <c r="G153" i="11"/>
  <c r="I153" i="11" s="1"/>
  <c r="G146" i="31"/>
  <c r="I146" i="31" s="1"/>
  <c r="D147" i="31"/>
  <c r="G143" i="39"/>
  <c r="I143" i="39" s="1"/>
  <c r="D144" i="39"/>
  <c r="J150" i="3"/>
  <c r="G142" i="40"/>
  <c r="I142" i="40" s="1"/>
  <c r="D143" i="40"/>
  <c r="D146" i="47" l="1"/>
  <c r="E146" i="47" s="1"/>
  <c r="G145" i="47"/>
  <c r="G149" i="46"/>
  <c r="I149" i="46" s="1"/>
  <c r="D150" i="46"/>
  <c r="E150" i="46" s="1"/>
  <c r="F150" i="46" s="1"/>
  <c r="B149" i="46"/>
  <c r="H149" i="46"/>
  <c r="B152" i="44"/>
  <c r="D152" i="45"/>
  <c r="G151" i="45"/>
  <c r="I151" i="45" s="1"/>
  <c r="E147" i="29"/>
  <c r="F147" i="29" s="1"/>
  <c r="H147" i="29" s="1"/>
  <c r="E144" i="39"/>
  <c r="F144" i="39" s="1"/>
  <c r="H144" i="39" s="1"/>
  <c r="E148" i="27"/>
  <c r="E153" i="6"/>
  <c r="F153" i="6" s="1"/>
  <c r="H153" i="6" s="1"/>
  <c r="E150" i="23"/>
  <c r="F150" i="23" s="1"/>
  <c r="H150" i="23" s="1"/>
  <c r="E146" i="30"/>
  <c r="F146" i="30" s="1"/>
  <c r="H146" i="30" s="1"/>
  <c r="E144" i="43"/>
  <c r="E152" i="5"/>
  <c r="F152" i="5" s="1"/>
  <c r="H152" i="5" s="1"/>
  <c r="E153" i="8"/>
  <c r="F153" i="8" s="1"/>
  <c r="H153" i="8" s="1"/>
  <c r="E147" i="28"/>
  <c r="F147" i="28" s="1"/>
  <c r="H147" i="28" s="1"/>
  <c r="E152" i="4"/>
  <c r="E143" i="40"/>
  <c r="E152" i="3"/>
  <c r="F152" i="3" s="1"/>
  <c r="H152" i="3" s="1"/>
  <c r="E151" i="22"/>
  <c r="F151" i="22" s="1"/>
  <c r="H151" i="22" s="1"/>
  <c r="E151" i="25"/>
  <c r="F151" i="25" s="1"/>
  <c r="H151" i="25" s="1"/>
  <c r="B149" i="41"/>
  <c r="E147" i="31"/>
  <c r="F147" i="31" s="1"/>
  <c r="H147" i="31" s="1"/>
  <c r="E144" i="37"/>
  <c r="F144" i="37" s="1"/>
  <c r="H144" i="37" s="1"/>
  <c r="E149" i="24"/>
  <c r="F149" i="24" s="1"/>
  <c r="H149" i="24" s="1"/>
  <c r="G152" i="44"/>
  <c r="I152" i="44" s="1"/>
  <c r="D153" i="44"/>
  <c r="E149" i="41"/>
  <c r="F149" i="41" s="1"/>
  <c r="G149" i="41" s="1"/>
  <c r="I149" i="41" s="1"/>
  <c r="D151" i="38"/>
  <c r="G150" i="38"/>
  <c r="I150" i="38" s="1"/>
  <c r="E149" i="42"/>
  <c r="F149" i="42" s="1"/>
  <c r="H149" i="42" s="1"/>
  <c r="B149" i="42"/>
  <c r="B143" i="40"/>
  <c r="F143" i="40"/>
  <c r="H143" i="40" s="1"/>
  <c r="I151" i="3"/>
  <c r="J154" i="7"/>
  <c r="J155" i="7" s="1"/>
  <c r="I155" i="7"/>
  <c r="J154" i="10"/>
  <c r="J155" i="10" s="1"/>
  <c r="I155" i="10"/>
  <c r="B151" i="22"/>
  <c r="B146" i="30"/>
  <c r="B154" i="9"/>
  <c r="B144" i="43"/>
  <c r="F144" i="43"/>
  <c r="H144" i="43" s="1"/>
  <c r="B147" i="28"/>
  <c r="B149" i="24"/>
  <c r="B154" i="11"/>
  <c r="F154" i="11"/>
  <c r="G154" i="11" s="1"/>
  <c r="B148" i="27"/>
  <c r="F148" i="27"/>
  <c r="H148" i="27" s="1"/>
  <c r="B147" i="29"/>
  <c r="B152" i="5"/>
  <c r="B152" i="4"/>
  <c r="F152" i="4"/>
  <c r="H152" i="4" s="1"/>
  <c r="B151" i="25"/>
  <c r="B147" i="31"/>
  <c r="B144" i="39"/>
  <c r="B152" i="3"/>
  <c r="B153" i="6"/>
  <c r="E154" i="9"/>
  <c r="E155" i="9" s="1"/>
  <c r="B144" i="37"/>
  <c r="I151" i="5"/>
  <c r="B153" i="8"/>
  <c r="I151" i="4"/>
  <c r="B150" i="23"/>
  <c r="I145" i="47" l="1"/>
  <c r="H145" i="47"/>
  <c r="B146" i="47"/>
  <c r="F146" i="47"/>
  <c r="G150" i="46"/>
  <c r="I150" i="46" s="1"/>
  <c r="D151" i="46"/>
  <c r="B150" i="46"/>
  <c r="H150" i="46"/>
  <c r="B152" i="45"/>
  <c r="E152" i="45"/>
  <c r="F152" i="45" s="1"/>
  <c r="H149" i="41"/>
  <c r="D150" i="41"/>
  <c r="E153" i="44"/>
  <c r="F153" i="44" s="1"/>
  <c r="H153" i="44" s="1"/>
  <c r="B153" i="44"/>
  <c r="G149" i="42"/>
  <c r="I149" i="42" s="1"/>
  <c r="D150" i="42"/>
  <c r="E151" i="38"/>
  <c r="F151" i="38" s="1"/>
  <c r="H151" i="38" s="1"/>
  <c r="B151" i="38"/>
  <c r="J151" i="3"/>
  <c r="J146" i="29"/>
  <c r="J146" i="28"/>
  <c r="J152" i="6"/>
  <c r="J152" i="8"/>
  <c r="J151" i="4"/>
  <c r="J151" i="5"/>
  <c r="J145" i="30"/>
  <c r="D154" i="8"/>
  <c r="E154" i="8" s="1"/>
  <c r="E155" i="8" s="1"/>
  <c r="G153" i="8"/>
  <c r="I153" i="8" s="1"/>
  <c r="J147" i="27"/>
  <c r="G144" i="39"/>
  <c r="I144" i="39" s="1"/>
  <c r="D145" i="39"/>
  <c r="G151" i="25"/>
  <c r="I151" i="25" s="1"/>
  <c r="D152" i="25"/>
  <c r="G152" i="5"/>
  <c r="D153" i="5"/>
  <c r="G147" i="29"/>
  <c r="I147" i="29" s="1"/>
  <c r="D148" i="29"/>
  <c r="H154" i="11"/>
  <c r="H155" i="11" s="1"/>
  <c r="I154" i="11"/>
  <c r="I155" i="11" s="1"/>
  <c r="G149" i="24"/>
  <c r="I149" i="24" s="1"/>
  <c r="D150" i="24"/>
  <c r="G144" i="43"/>
  <c r="I144" i="43" s="1"/>
  <c r="D145" i="43"/>
  <c r="G146" i="30"/>
  <c r="I146" i="30" s="1"/>
  <c r="D147" i="30"/>
  <c r="G151" i="22"/>
  <c r="I151" i="22" s="1"/>
  <c r="D152" i="22"/>
  <c r="D154" i="6"/>
  <c r="G153" i="6"/>
  <c r="I153" i="6" s="1"/>
  <c r="G152" i="3"/>
  <c r="D153" i="3"/>
  <c r="J146" i="31"/>
  <c r="G147" i="31"/>
  <c r="I147" i="31" s="1"/>
  <c r="D148" i="31"/>
  <c r="G152" i="4"/>
  <c r="D153" i="4"/>
  <c r="G148" i="27"/>
  <c r="I148" i="27" s="1"/>
  <c r="D149" i="27"/>
  <c r="G147" i="28"/>
  <c r="I147" i="28" s="1"/>
  <c r="D148" i="28"/>
  <c r="F154" i="9"/>
  <c r="G154" i="9" s="1"/>
  <c r="G143" i="40"/>
  <c r="I143" i="40" s="1"/>
  <c r="D144" i="40"/>
  <c r="D151" i="23"/>
  <c r="G150" i="23"/>
  <c r="I150" i="23" s="1"/>
  <c r="G144" i="37"/>
  <c r="I144" i="37" s="1"/>
  <c r="D145" i="37"/>
  <c r="D147" i="47" l="1"/>
  <c r="E147" i="47" s="1"/>
  <c r="G146" i="47"/>
  <c r="E151" i="46"/>
  <c r="F151" i="46" s="1"/>
  <c r="H151" i="46" s="1"/>
  <c r="B151" i="46"/>
  <c r="G152" i="45"/>
  <c r="I152" i="45" s="1"/>
  <c r="D153" i="45"/>
  <c r="E153" i="45" s="1"/>
  <c r="F153" i="45" s="1"/>
  <c r="H152" i="45"/>
  <c r="E153" i="4"/>
  <c r="F153" i="4" s="1"/>
  <c r="H153" i="4" s="1"/>
  <c r="E144" i="40"/>
  <c r="F144" i="40" s="1"/>
  <c r="H144" i="40" s="1"/>
  <c r="E145" i="43"/>
  <c r="E153" i="5"/>
  <c r="F153" i="5" s="1"/>
  <c r="H153" i="5" s="1"/>
  <c r="E145" i="39"/>
  <c r="F145" i="39" s="1"/>
  <c r="H145" i="39" s="1"/>
  <c r="E151" i="23"/>
  <c r="E154" i="6"/>
  <c r="E155" i="6" s="1"/>
  <c r="E153" i="3"/>
  <c r="F153" i="3" s="1"/>
  <c r="H153" i="3" s="1"/>
  <c r="E149" i="27"/>
  <c r="F149" i="27" s="1"/>
  <c r="H149" i="27" s="1"/>
  <c r="E148" i="28"/>
  <c r="B150" i="42"/>
  <c r="E152" i="22"/>
  <c r="F152" i="22" s="1"/>
  <c r="H152" i="22" s="1"/>
  <c r="E147" i="30"/>
  <c r="F147" i="30" s="1"/>
  <c r="H147" i="30" s="1"/>
  <c r="E148" i="29"/>
  <c r="F148" i="29" s="1"/>
  <c r="H148" i="29" s="1"/>
  <c r="E152" i="25"/>
  <c r="B150" i="41"/>
  <c r="E148" i="31"/>
  <c r="F148" i="31" s="1"/>
  <c r="H148" i="31" s="1"/>
  <c r="E145" i="37"/>
  <c r="F145" i="37" s="1"/>
  <c r="H145" i="37" s="1"/>
  <c r="E150" i="24"/>
  <c r="F150" i="24" s="1"/>
  <c r="H150" i="24" s="1"/>
  <c r="D154" i="44"/>
  <c r="G153" i="44"/>
  <c r="I153" i="44" s="1"/>
  <c r="E150" i="41"/>
  <c r="F150" i="41" s="1"/>
  <c r="H150" i="41" s="1"/>
  <c r="E150" i="42"/>
  <c r="F150" i="42" s="1"/>
  <c r="D151" i="42" s="1"/>
  <c r="D152" i="38"/>
  <c r="G151" i="38"/>
  <c r="I151" i="38" s="1"/>
  <c r="B144" i="40"/>
  <c r="B148" i="28"/>
  <c r="F148" i="28"/>
  <c r="H148" i="28" s="1"/>
  <c r="B150" i="24"/>
  <c r="B153" i="5"/>
  <c r="B148" i="31"/>
  <c r="B153" i="3"/>
  <c r="B154" i="6"/>
  <c r="F154" i="6"/>
  <c r="G154" i="6" s="1"/>
  <c r="B145" i="43"/>
  <c r="F145" i="43"/>
  <c r="H145" i="43" s="1"/>
  <c r="B148" i="29"/>
  <c r="I152" i="5"/>
  <c r="B151" i="23"/>
  <c r="F151" i="23"/>
  <c r="H151" i="23" s="1"/>
  <c r="H154" i="9"/>
  <c r="H155" i="9" s="1"/>
  <c r="I154" i="9"/>
  <c r="I155" i="9" s="1"/>
  <c r="B153" i="4"/>
  <c r="I152" i="3"/>
  <c r="B147" i="30"/>
  <c r="B145" i="39"/>
  <c r="B145" i="37"/>
  <c r="B149" i="27"/>
  <c r="I152" i="4"/>
  <c r="B152" i="22"/>
  <c r="B152" i="25"/>
  <c r="F152" i="25"/>
  <c r="H152" i="25" s="1"/>
  <c r="B154" i="8"/>
  <c r="F154" i="8"/>
  <c r="G154" i="8" s="1"/>
  <c r="I146" i="47" l="1"/>
  <c r="H146" i="47"/>
  <c r="F147" i="47"/>
  <c r="B147" i="47"/>
  <c r="G151" i="46"/>
  <c r="I151" i="46" s="1"/>
  <c r="D152" i="46"/>
  <c r="E152" i="46" s="1"/>
  <c r="F152" i="46" s="1"/>
  <c r="G153" i="45"/>
  <c r="I153" i="45" s="1"/>
  <c r="D154" i="45"/>
  <c r="B153" i="45"/>
  <c r="H153" i="45"/>
  <c r="H150" i="42"/>
  <c r="H154" i="6"/>
  <c r="H155" i="6" s="1"/>
  <c r="G150" i="42"/>
  <c r="I150" i="42" s="1"/>
  <c r="D151" i="41"/>
  <c r="G150" i="41"/>
  <c r="I150" i="41" s="1"/>
  <c r="E154" i="44"/>
  <c r="E155" i="44" s="1"/>
  <c r="B154" i="44"/>
  <c r="E151" i="42"/>
  <c r="F151" i="42" s="1"/>
  <c r="H151" i="42" s="1"/>
  <c r="B151" i="42"/>
  <c r="E152" i="38"/>
  <c r="F152" i="38" s="1"/>
  <c r="H152" i="38" s="1"/>
  <c r="B152" i="38"/>
  <c r="J148" i="27"/>
  <c r="J146" i="30"/>
  <c r="J152" i="4"/>
  <c r="J153" i="8"/>
  <c r="J147" i="29"/>
  <c r="G147" i="30"/>
  <c r="I147" i="30" s="1"/>
  <c r="D148" i="30"/>
  <c r="J147" i="31"/>
  <c r="J152" i="5"/>
  <c r="I154" i="6"/>
  <c r="D149" i="31"/>
  <c r="G148" i="31"/>
  <c r="I148" i="31" s="1"/>
  <c r="G150" i="24"/>
  <c r="I150" i="24" s="1"/>
  <c r="D151" i="24"/>
  <c r="J153" i="6"/>
  <c r="G148" i="28"/>
  <c r="I148" i="28" s="1"/>
  <c r="D149" i="28"/>
  <c r="H154" i="8"/>
  <c r="H155" i="8" s="1"/>
  <c r="I154" i="8"/>
  <c r="G152" i="25"/>
  <c r="I152" i="25" s="1"/>
  <c r="D153" i="25"/>
  <c r="G152" i="22"/>
  <c r="I152" i="22" s="1"/>
  <c r="D153" i="22"/>
  <c r="D150" i="27"/>
  <c r="G149" i="27"/>
  <c r="I149" i="27" s="1"/>
  <c r="G145" i="37"/>
  <c r="I145" i="37" s="1"/>
  <c r="D146" i="37"/>
  <c r="G145" i="39"/>
  <c r="I145" i="39" s="1"/>
  <c r="D146" i="39"/>
  <c r="J152" i="3"/>
  <c r="G153" i="4"/>
  <c r="D154" i="4"/>
  <c r="G151" i="23"/>
  <c r="I151" i="23" s="1"/>
  <c r="D152" i="23"/>
  <c r="G148" i="29"/>
  <c r="I148" i="29" s="1"/>
  <c r="D149" i="29"/>
  <c r="G145" i="43"/>
  <c r="I145" i="43" s="1"/>
  <c r="D146" i="43"/>
  <c r="G153" i="3"/>
  <c r="D154" i="3"/>
  <c r="G153" i="5"/>
  <c r="D154" i="5"/>
  <c r="G144" i="40"/>
  <c r="I144" i="40" s="1"/>
  <c r="D145" i="40"/>
  <c r="J147" i="28"/>
  <c r="D148" i="47" l="1"/>
  <c r="E148" i="47" s="1"/>
  <c r="G147" i="47"/>
  <c r="G152" i="46"/>
  <c r="I152" i="46" s="1"/>
  <c r="D153" i="46"/>
  <c r="E153" i="46" s="1"/>
  <c r="F153" i="46" s="1"/>
  <c r="B152" i="46"/>
  <c r="H152" i="46"/>
  <c r="E154" i="45"/>
  <c r="E155" i="45" s="1"/>
  <c r="B154" i="45"/>
  <c r="E149" i="29"/>
  <c r="E154" i="3"/>
  <c r="E155" i="3" s="1"/>
  <c r="E150" i="27"/>
  <c r="F150" i="27" s="1"/>
  <c r="H150" i="27" s="1"/>
  <c r="E153" i="22"/>
  <c r="F153" i="22" s="1"/>
  <c r="H153" i="22" s="1"/>
  <c r="E152" i="23"/>
  <c r="E148" i="30"/>
  <c r="F148" i="30" s="1"/>
  <c r="H148" i="30" s="1"/>
  <c r="E145" i="40"/>
  <c r="F145" i="40" s="1"/>
  <c r="H145" i="40" s="1"/>
  <c r="E154" i="4"/>
  <c r="E155" i="4" s="1"/>
  <c r="E154" i="5"/>
  <c r="E155" i="5" s="1"/>
  <c r="E146" i="43"/>
  <c r="F146" i="43" s="1"/>
  <c r="H146" i="43" s="1"/>
  <c r="E146" i="39"/>
  <c r="F146" i="39" s="1"/>
  <c r="H146" i="39" s="1"/>
  <c r="E153" i="25"/>
  <c r="F153" i="25" s="1"/>
  <c r="H153" i="25" s="1"/>
  <c r="E149" i="28"/>
  <c r="F149" i="28" s="1"/>
  <c r="H149" i="28" s="1"/>
  <c r="E151" i="41"/>
  <c r="F151" i="41" s="1"/>
  <c r="H151" i="41" s="1"/>
  <c r="E149" i="31"/>
  <c r="F149" i="31" s="1"/>
  <c r="H149" i="31" s="1"/>
  <c r="E146" i="37"/>
  <c r="F146" i="37" s="1"/>
  <c r="H146" i="37" s="1"/>
  <c r="E151" i="24"/>
  <c r="F154" i="44"/>
  <c r="G154" i="44" s="1"/>
  <c r="H154" i="44" s="1"/>
  <c r="H155" i="44" s="1"/>
  <c r="B151" i="41"/>
  <c r="G151" i="42"/>
  <c r="I151" i="42" s="1"/>
  <c r="D152" i="42"/>
  <c r="D153" i="38"/>
  <c r="G152" i="38"/>
  <c r="I152" i="38" s="1"/>
  <c r="B154" i="3"/>
  <c r="B154" i="4"/>
  <c r="B146" i="39"/>
  <c r="B153" i="25"/>
  <c r="I153" i="3"/>
  <c r="F152" i="23"/>
  <c r="H152" i="23" s="1"/>
  <c r="B152" i="23"/>
  <c r="I153" i="4"/>
  <c r="B153" i="22"/>
  <c r="B149" i="28"/>
  <c r="B151" i="24"/>
  <c r="F151" i="24"/>
  <c r="H151" i="24" s="1"/>
  <c r="B149" i="31"/>
  <c r="B154" i="5"/>
  <c r="F154" i="5"/>
  <c r="G154" i="5" s="1"/>
  <c r="B145" i="40"/>
  <c r="I153" i="5"/>
  <c r="B149" i="29"/>
  <c r="F149" i="29"/>
  <c r="H149" i="29" s="1"/>
  <c r="J154" i="8"/>
  <c r="J155" i="8" s="1"/>
  <c r="I155" i="8"/>
  <c r="J154" i="6"/>
  <c r="J155" i="6" s="1"/>
  <c r="I155" i="6"/>
  <c r="B146" i="43"/>
  <c r="B146" i="37"/>
  <c r="B150" i="27"/>
  <c r="B148" i="30"/>
  <c r="F154" i="45" l="1"/>
  <c r="G154" i="45" s="1"/>
  <c r="I147" i="47"/>
  <c r="H147" i="47"/>
  <c r="F148" i="47"/>
  <c r="B148" i="47"/>
  <c r="G153" i="46"/>
  <c r="I153" i="46" s="1"/>
  <c r="D154" i="46"/>
  <c r="E154" i="46" s="1"/>
  <c r="E155" i="46" s="1"/>
  <c r="B153" i="46"/>
  <c r="H153" i="46"/>
  <c r="F154" i="3"/>
  <c r="G154" i="3" s="1"/>
  <c r="F154" i="4"/>
  <c r="G154" i="4" s="1"/>
  <c r="H154" i="45"/>
  <c r="H155" i="45" s="1"/>
  <c r="I154" i="45"/>
  <c r="I155" i="45" s="1"/>
  <c r="H154" i="5"/>
  <c r="H155" i="5" s="1"/>
  <c r="H154" i="3"/>
  <c r="H155" i="3" s="1"/>
  <c r="H154" i="4"/>
  <c r="H155" i="4" s="1"/>
  <c r="B153" i="38"/>
  <c r="I154" i="44"/>
  <c r="I155" i="44" s="1"/>
  <c r="D152" i="41"/>
  <c r="G151" i="41"/>
  <c r="I151" i="41" s="1"/>
  <c r="E152" i="42"/>
  <c r="F152" i="42" s="1"/>
  <c r="H152" i="42" s="1"/>
  <c r="B152" i="42"/>
  <c r="E153" i="38"/>
  <c r="F153" i="38" s="1"/>
  <c r="H153" i="38" s="1"/>
  <c r="J153" i="4"/>
  <c r="J153" i="5"/>
  <c r="J153" i="3"/>
  <c r="J148" i="31"/>
  <c r="J148" i="29"/>
  <c r="D151" i="27"/>
  <c r="G150" i="27"/>
  <c r="I150" i="27" s="1"/>
  <c r="G148" i="30"/>
  <c r="I148" i="30" s="1"/>
  <c r="D149" i="30"/>
  <c r="G146" i="37"/>
  <c r="I146" i="37" s="1"/>
  <c r="D147" i="37"/>
  <c r="G146" i="43"/>
  <c r="I146" i="43" s="1"/>
  <c r="D147" i="43"/>
  <c r="J149" i="27"/>
  <c r="G149" i="29"/>
  <c r="I149" i="29" s="1"/>
  <c r="D150" i="29"/>
  <c r="G145" i="40"/>
  <c r="I145" i="40" s="1"/>
  <c r="D146" i="40"/>
  <c r="G151" i="24"/>
  <c r="I151" i="24" s="1"/>
  <c r="D152" i="24"/>
  <c r="J147" i="30"/>
  <c r="G153" i="25"/>
  <c r="I153" i="25" s="1"/>
  <c r="D154" i="25"/>
  <c r="E154" i="25" s="1"/>
  <c r="E155" i="25" s="1"/>
  <c r="G146" i="39"/>
  <c r="I146" i="39" s="1"/>
  <c r="D147" i="39"/>
  <c r="D153" i="23"/>
  <c r="G152" i="23"/>
  <c r="I152" i="23" s="1"/>
  <c r="I154" i="5"/>
  <c r="G149" i="31"/>
  <c r="I149" i="31" s="1"/>
  <c r="D150" i="31"/>
  <c r="D150" i="28"/>
  <c r="G149" i="28"/>
  <c r="I149" i="28" s="1"/>
  <c r="G153" i="22"/>
  <c r="I153" i="22" s="1"/>
  <c r="D154" i="22"/>
  <c r="E154" i="22" s="1"/>
  <c r="E155" i="22" s="1"/>
  <c r="I154" i="4"/>
  <c r="I154" i="3"/>
  <c r="J148" i="28"/>
  <c r="D149" i="47" l="1"/>
  <c r="G148" i="47"/>
  <c r="E149" i="47"/>
  <c r="B154" i="46"/>
  <c r="F154" i="46"/>
  <c r="G154" i="46" s="1"/>
  <c r="E146" i="40"/>
  <c r="E151" i="27"/>
  <c r="E153" i="23"/>
  <c r="E147" i="39"/>
  <c r="F147" i="39" s="1"/>
  <c r="H147" i="39" s="1"/>
  <c r="E147" i="43"/>
  <c r="E149" i="30"/>
  <c r="E150" i="28"/>
  <c r="E150" i="29"/>
  <c r="F150" i="29" s="1"/>
  <c r="H150" i="29" s="1"/>
  <c r="E150" i="31"/>
  <c r="E147" i="37"/>
  <c r="E152" i="24"/>
  <c r="F152" i="24" s="1"/>
  <c r="H152" i="24" s="1"/>
  <c r="E152" i="41"/>
  <c r="F152" i="41" s="1"/>
  <c r="H152" i="41" s="1"/>
  <c r="B152" i="41"/>
  <c r="D153" i="42"/>
  <c r="G152" i="42"/>
  <c r="I152" i="42" s="1"/>
  <c r="G153" i="38"/>
  <c r="I153" i="38" s="1"/>
  <c r="D154" i="38"/>
  <c r="B150" i="31"/>
  <c r="F150" i="31"/>
  <c r="H150" i="31" s="1"/>
  <c r="B147" i="39"/>
  <c r="B147" i="37"/>
  <c r="F147" i="37"/>
  <c r="H147" i="37" s="1"/>
  <c r="J154" i="3"/>
  <c r="J155" i="3" s="1"/>
  <c r="I155" i="3"/>
  <c r="B150" i="29"/>
  <c r="B147" i="43"/>
  <c r="F147" i="43"/>
  <c r="H147" i="43" s="1"/>
  <c r="B154" i="22"/>
  <c r="F154" i="22"/>
  <c r="G154" i="22" s="1"/>
  <c r="B150" i="28"/>
  <c r="F150" i="28"/>
  <c r="H150" i="28" s="1"/>
  <c r="J154" i="5"/>
  <c r="J155" i="5" s="1"/>
  <c r="I155" i="5"/>
  <c r="B153" i="23"/>
  <c r="F153" i="23"/>
  <c r="H153" i="23" s="1"/>
  <c r="B146" i="40"/>
  <c r="F146" i="40"/>
  <c r="H146" i="40" s="1"/>
  <c r="J154" i="4"/>
  <c r="J155" i="4" s="1"/>
  <c r="I155" i="4"/>
  <c r="B154" i="25"/>
  <c r="F154" i="25"/>
  <c r="G154" i="25" s="1"/>
  <c r="B152" i="24"/>
  <c r="B149" i="30"/>
  <c r="F149" i="30"/>
  <c r="H149" i="30" s="1"/>
  <c r="B151" i="27"/>
  <c r="F151" i="27"/>
  <c r="H151" i="27" s="1"/>
  <c r="H148" i="47" l="1"/>
  <c r="I148" i="47"/>
  <c r="B149" i="47"/>
  <c r="F149" i="47"/>
  <c r="I154" i="46"/>
  <c r="I155" i="46" s="1"/>
  <c r="H154" i="46"/>
  <c r="H155" i="46" s="1"/>
  <c r="G152" i="41"/>
  <c r="I152" i="41" s="1"/>
  <c r="D153" i="41"/>
  <c r="E154" i="38"/>
  <c r="E155" i="38" s="1"/>
  <c r="B154" i="38"/>
  <c r="E153" i="42"/>
  <c r="F153" i="42" s="1"/>
  <c r="H153" i="42" s="1"/>
  <c r="B153" i="42"/>
  <c r="J149" i="28"/>
  <c r="J149" i="31"/>
  <c r="G152" i="24"/>
  <c r="I152" i="24" s="1"/>
  <c r="D153" i="24"/>
  <c r="G146" i="40"/>
  <c r="I146" i="40" s="1"/>
  <c r="D147" i="40"/>
  <c r="H154" i="22"/>
  <c r="H155" i="22" s="1"/>
  <c r="I154" i="22"/>
  <c r="I155" i="22" s="1"/>
  <c r="G147" i="43"/>
  <c r="I147" i="43" s="1"/>
  <c r="D148" i="43"/>
  <c r="J148" i="30"/>
  <c r="G147" i="39"/>
  <c r="I147" i="39" s="1"/>
  <c r="D148" i="39"/>
  <c r="D152" i="27"/>
  <c r="G151" i="27"/>
  <c r="I151" i="27" s="1"/>
  <c r="I154" i="25"/>
  <c r="I155" i="25" s="1"/>
  <c r="H154" i="25"/>
  <c r="H155" i="25" s="1"/>
  <c r="J150" i="27"/>
  <c r="J149" i="29"/>
  <c r="G153" i="23"/>
  <c r="I153" i="23" s="1"/>
  <c r="D154" i="23"/>
  <c r="G150" i="28"/>
  <c r="I150" i="28" s="1"/>
  <c r="D151" i="28"/>
  <c r="G150" i="29"/>
  <c r="I150" i="29" s="1"/>
  <c r="D151" i="29"/>
  <c r="G147" i="37"/>
  <c r="I147" i="37" s="1"/>
  <c r="D148" i="37"/>
  <c r="G150" i="31"/>
  <c r="I150" i="31" s="1"/>
  <c r="D151" i="31"/>
  <c r="G149" i="30"/>
  <c r="I149" i="30" s="1"/>
  <c r="D150" i="30"/>
  <c r="D150" i="47" l="1"/>
  <c r="E150" i="47" s="1"/>
  <c r="G149" i="47"/>
  <c r="E150" i="30"/>
  <c r="E151" i="28"/>
  <c r="F151" i="28" s="1"/>
  <c r="H151" i="28" s="1"/>
  <c r="E151" i="29"/>
  <c r="E148" i="39"/>
  <c r="F148" i="39" s="1"/>
  <c r="H148" i="39" s="1"/>
  <c r="E152" i="27"/>
  <c r="E148" i="43"/>
  <c r="F148" i="43" s="1"/>
  <c r="H148" i="43" s="1"/>
  <c r="E147" i="40"/>
  <c r="F147" i="40" s="1"/>
  <c r="H147" i="40" s="1"/>
  <c r="B153" i="41"/>
  <c r="E148" i="37"/>
  <c r="F148" i="37" s="1"/>
  <c r="H148" i="37" s="1"/>
  <c r="E153" i="24"/>
  <c r="F153" i="24" s="1"/>
  <c r="H153" i="24" s="1"/>
  <c r="E153" i="41"/>
  <c r="F153" i="41" s="1"/>
  <c r="D154" i="41" s="1"/>
  <c r="E154" i="41" s="1"/>
  <c r="E155" i="41" s="1"/>
  <c r="F154" i="38"/>
  <c r="G154" i="38" s="1"/>
  <c r="H154" i="38" s="1"/>
  <c r="H155" i="38" s="1"/>
  <c r="D154" i="42"/>
  <c r="G153" i="42"/>
  <c r="I153" i="42" s="1"/>
  <c r="B154" i="23"/>
  <c r="B152" i="27"/>
  <c r="F152" i="27"/>
  <c r="H152" i="27" s="1"/>
  <c r="B151" i="28"/>
  <c r="B150" i="30"/>
  <c r="F150" i="30"/>
  <c r="H150" i="30" s="1"/>
  <c r="B148" i="39"/>
  <c r="B148" i="43"/>
  <c r="B153" i="24"/>
  <c r="B151" i="31"/>
  <c r="B151" i="29"/>
  <c r="F151" i="29"/>
  <c r="H151" i="29" s="1"/>
  <c r="E151" i="31"/>
  <c r="F151" i="31" s="1"/>
  <c r="H151" i="31" s="1"/>
  <c r="B148" i="37"/>
  <c r="E154" i="23"/>
  <c r="E155" i="23" s="1"/>
  <c r="B147" i="40"/>
  <c r="I149" i="47" l="1"/>
  <c r="H149" i="47"/>
  <c r="F150" i="47"/>
  <c r="B150" i="47"/>
  <c r="H153" i="41"/>
  <c r="I154" i="38"/>
  <c r="I155" i="38" s="1"/>
  <c r="G153" i="41"/>
  <c r="I153" i="41" s="1"/>
  <c r="F154" i="41"/>
  <c r="G154" i="41" s="1"/>
  <c r="H154" i="41" s="1"/>
  <c r="B154" i="41"/>
  <c r="E154" i="42"/>
  <c r="E155" i="42" s="1"/>
  <c r="B154" i="42"/>
  <c r="J151" i="27"/>
  <c r="J149" i="30"/>
  <c r="J150" i="31"/>
  <c r="G151" i="31"/>
  <c r="I151" i="31" s="1"/>
  <c r="D152" i="31"/>
  <c r="G148" i="43"/>
  <c r="I148" i="43" s="1"/>
  <c r="D149" i="43"/>
  <c r="J150" i="28"/>
  <c r="G150" i="30"/>
  <c r="I150" i="30" s="1"/>
  <c r="D151" i="30"/>
  <c r="G151" i="28"/>
  <c r="I151" i="28" s="1"/>
  <c r="D152" i="28"/>
  <c r="F154" i="23"/>
  <c r="G154" i="23" s="1"/>
  <c r="G147" i="40"/>
  <c r="I147" i="40" s="1"/>
  <c r="D148" i="40"/>
  <c r="J150" i="29"/>
  <c r="G151" i="29"/>
  <c r="I151" i="29" s="1"/>
  <c r="D152" i="29"/>
  <c r="G153" i="24"/>
  <c r="I153" i="24" s="1"/>
  <c r="D154" i="24"/>
  <c r="E154" i="24" s="1"/>
  <c r="E155" i="24" s="1"/>
  <c r="G148" i="39"/>
  <c r="I148" i="39" s="1"/>
  <c r="D149" i="39"/>
  <c r="G152" i="27"/>
  <c r="I152" i="27" s="1"/>
  <c r="D153" i="27"/>
  <c r="G148" i="37"/>
  <c r="I148" i="37" s="1"/>
  <c r="D149" i="37"/>
  <c r="D151" i="47" l="1"/>
  <c r="G150" i="47"/>
  <c r="E151" i="47"/>
  <c r="E152" i="29"/>
  <c r="F152" i="29" s="1"/>
  <c r="H152" i="29" s="1"/>
  <c r="E151" i="30"/>
  <c r="E152" i="28"/>
  <c r="F152" i="28" s="1"/>
  <c r="H152" i="28" s="1"/>
  <c r="E149" i="39"/>
  <c r="F149" i="39" s="1"/>
  <c r="H149" i="39" s="1"/>
  <c r="E148" i="40"/>
  <c r="F148" i="40" s="1"/>
  <c r="H148" i="40" s="1"/>
  <c r="E149" i="43"/>
  <c r="F149" i="43" s="1"/>
  <c r="H149" i="43" s="1"/>
  <c r="I154" i="41"/>
  <c r="E152" i="31"/>
  <c r="F152" i="31" s="1"/>
  <c r="H152" i="31" s="1"/>
  <c r="E149" i="37"/>
  <c r="F149" i="37" s="1"/>
  <c r="H149" i="37" s="1"/>
  <c r="H155" i="41"/>
  <c r="I155" i="41"/>
  <c r="F154" i="42"/>
  <c r="G154" i="42" s="1"/>
  <c r="I154" i="42" s="1"/>
  <c r="I155" i="42" s="1"/>
  <c r="B153" i="27"/>
  <c r="B152" i="29"/>
  <c r="B148" i="40"/>
  <c r="B152" i="28"/>
  <c r="E153" i="27"/>
  <c r="F153" i="27" s="1"/>
  <c r="B149" i="37"/>
  <c r="B154" i="24"/>
  <c r="F154" i="24"/>
  <c r="G154" i="24" s="1"/>
  <c r="B149" i="39"/>
  <c r="I154" i="23"/>
  <c r="I155" i="23" s="1"/>
  <c r="H154" i="23"/>
  <c r="H155" i="23" s="1"/>
  <c r="B152" i="31"/>
  <c r="B151" i="30"/>
  <c r="F151" i="30"/>
  <c r="H151" i="30" s="1"/>
  <c r="B149" i="43"/>
  <c r="I150" i="47" l="1"/>
  <c r="H150" i="47"/>
  <c r="B151" i="47"/>
  <c r="F151" i="47"/>
  <c r="H154" i="42"/>
  <c r="H155" i="42" s="1"/>
  <c r="J151" i="29"/>
  <c r="J151" i="31"/>
  <c r="J150" i="30"/>
  <c r="G153" i="27"/>
  <c r="D154" i="27"/>
  <c r="E154" i="27" s="1"/>
  <c r="E155" i="27" s="1"/>
  <c r="G152" i="31"/>
  <c r="I152" i="31" s="1"/>
  <c r="D153" i="31"/>
  <c r="J151" i="28"/>
  <c r="G152" i="28"/>
  <c r="I152" i="28" s="1"/>
  <c r="D153" i="28"/>
  <c r="G151" i="30"/>
  <c r="I151" i="30" s="1"/>
  <c r="D152" i="30"/>
  <c r="I154" i="24"/>
  <c r="I155" i="24" s="1"/>
  <c r="H154" i="24"/>
  <c r="H155" i="24" s="1"/>
  <c r="G149" i="37"/>
  <c r="I149" i="37" s="1"/>
  <c r="D150" i="37"/>
  <c r="G152" i="29"/>
  <c r="I152" i="29" s="1"/>
  <c r="D153" i="29"/>
  <c r="G149" i="39"/>
  <c r="I149" i="39" s="1"/>
  <c r="D150" i="39"/>
  <c r="G148" i="40"/>
  <c r="I148" i="40" s="1"/>
  <c r="D149" i="40"/>
  <c r="G149" i="43"/>
  <c r="I149" i="43" s="1"/>
  <c r="D150" i="43"/>
  <c r="J152" i="27"/>
  <c r="D152" i="47" l="1"/>
  <c r="E152" i="47" s="1"/>
  <c r="G151" i="47"/>
  <c r="E149" i="40"/>
  <c r="E153" i="28"/>
  <c r="F153" i="28" s="1"/>
  <c r="H153" i="28" s="1"/>
  <c r="E153" i="29"/>
  <c r="F153" i="29" s="1"/>
  <c r="H153" i="29" s="1"/>
  <c r="E150" i="43"/>
  <c r="F150" i="43" s="1"/>
  <c r="H150" i="43" s="1"/>
  <c r="E150" i="39"/>
  <c r="F150" i="39" s="1"/>
  <c r="H150" i="39" s="1"/>
  <c r="E152" i="30"/>
  <c r="F152" i="30" s="1"/>
  <c r="H152" i="30" s="1"/>
  <c r="E153" i="31"/>
  <c r="F153" i="31" s="1"/>
  <c r="H153" i="31" s="1"/>
  <c r="E150" i="37"/>
  <c r="F150" i="37" s="1"/>
  <c r="H150" i="37" s="1"/>
  <c r="B153" i="29"/>
  <c r="B152" i="30"/>
  <c r="B150" i="39"/>
  <c r="B149" i="40"/>
  <c r="F149" i="40"/>
  <c r="H149" i="40" s="1"/>
  <c r="B154" i="27"/>
  <c r="F154" i="27"/>
  <c r="G154" i="27" s="1"/>
  <c r="B150" i="43"/>
  <c r="B150" i="37"/>
  <c r="B153" i="28"/>
  <c r="B153" i="31"/>
  <c r="I153" i="27"/>
  <c r="H153" i="27"/>
  <c r="H151" i="47" l="1"/>
  <c r="I151" i="47"/>
  <c r="B152" i="47"/>
  <c r="F152" i="47"/>
  <c r="J152" i="28"/>
  <c r="J151" i="30"/>
  <c r="J153" i="27"/>
  <c r="G153" i="28"/>
  <c r="I153" i="28" s="1"/>
  <c r="D154" i="28"/>
  <c r="E154" i="28" s="1"/>
  <c r="E155" i="28" s="1"/>
  <c r="H154" i="27"/>
  <c r="H155" i="27" s="1"/>
  <c r="I154" i="27"/>
  <c r="D150" i="40"/>
  <c r="G149" i="40"/>
  <c r="I149" i="40" s="1"/>
  <c r="J152" i="29"/>
  <c r="J152" i="31"/>
  <c r="G152" i="30"/>
  <c r="I152" i="30" s="1"/>
  <c r="D153" i="30"/>
  <c r="G153" i="29"/>
  <c r="I153" i="29" s="1"/>
  <c r="D154" i="29"/>
  <c r="E154" i="29" s="1"/>
  <c r="E155" i="29" s="1"/>
  <c r="G153" i="31"/>
  <c r="I153" i="31" s="1"/>
  <c r="D154" i="31"/>
  <c r="E154" i="31" s="1"/>
  <c r="E155" i="31" s="1"/>
  <c r="G150" i="37"/>
  <c r="I150" i="37" s="1"/>
  <c r="D151" i="37"/>
  <c r="G150" i="43"/>
  <c r="I150" i="43" s="1"/>
  <c r="D151" i="43"/>
  <c r="G150" i="39"/>
  <c r="I150" i="39" s="1"/>
  <c r="D151" i="39"/>
  <c r="D153" i="47" l="1"/>
  <c r="E153" i="47" s="1"/>
  <c r="G152" i="47"/>
  <c r="E151" i="39"/>
  <c r="F151" i="39" s="1"/>
  <c r="H151" i="39" s="1"/>
  <c r="E150" i="40"/>
  <c r="E151" i="37"/>
  <c r="F151" i="37" s="1"/>
  <c r="H151" i="37" s="1"/>
  <c r="B153" i="30"/>
  <c r="B151" i="39"/>
  <c r="B154" i="29"/>
  <c r="F154" i="29"/>
  <c r="G154" i="29" s="1"/>
  <c r="B151" i="43"/>
  <c r="B150" i="40"/>
  <c r="F150" i="40"/>
  <c r="H150" i="40" s="1"/>
  <c r="F154" i="28"/>
  <c r="G154" i="28" s="1"/>
  <c r="B154" i="28"/>
  <c r="B154" i="31"/>
  <c r="F154" i="31"/>
  <c r="G154" i="31" s="1"/>
  <c r="E151" i="43"/>
  <c r="F151" i="43" s="1"/>
  <c r="H151" i="43" s="1"/>
  <c r="B151" i="37"/>
  <c r="E153" i="30"/>
  <c r="F153" i="30" s="1"/>
  <c r="H153" i="30" s="1"/>
  <c r="J154" i="27"/>
  <c r="J155" i="27" s="1"/>
  <c r="I155" i="27"/>
  <c r="H152" i="47" l="1"/>
  <c r="I152" i="47"/>
  <c r="B153" i="47"/>
  <c r="F153" i="47"/>
  <c r="J153" i="31"/>
  <c r="G153" i="30"/>
  <c r="I153" i="30" s="1"/>
  <c r="D154" i="30"/>
  <c r="E154" i="30" s="1"/>
  <c r="E155" i="30" s="1"/>
  <c r="G151" i="43"/>
  <c r="I151" i="43" s="1"/>
  <c r="D152" i="43"/>
  <c r="J153" i="28"/>
  <c r="J153" i="29"/>
  <c r="H154" i="29"/>
  <c r="H155" i="29" s="1"/>
  <c r="I154" i="29"/>
  <c r="G151" i="39"/>
  <c r="I151" i="39" s="1"/>
  <c r="D152" i="39"/>
  <c r="H154" i="28"/>
  <c r="H155" i="28" s="1"/>
  <c r="I154" i="28"/>
  <c r="H154" i="31"/>
  <c r="H155" i="31" s="1"/>
  <c r="I154" i="31"/>
  <c r="G150" i="40"/>
  <c r="I150" i="40" s="1"/>
  <c r="D151" i="40"/>
  <c r="G151" i="37"/>
  <c r="I151" i="37" s="1"/>
  <c r="D152" i="37"/>
  <c r="J152" i="30"/>
  <c r="D154" i="47" l="1"/>
  <c r="E154" i="47" s="1"/>
  <c r="E155" i="47" s="1"/>
  <c r="G153" i="47"/>
  <c r="E151" i="40"/>
  <c r="F151" i="40" s="1"/>
  <c r="H151" i="40" s="1"/>
  <c r="E152" i="43"/>
  <c r="F152" i="43" s="1"/>
  <c r="H152" i="43" s="1"/>
  <c r="E152" i="37"/>
  <c r="F152" i="37" s="1"/>
  <c r="H152" i="37" s="1"/>
  <c r="B152" i="39"/>
  <c r="B151" i="40"/>
  <c r="J154" i="29"/>
  <c r="J155" i="29" s="1"/>
  <c r="I155" i="29"/>
  <c r="B154" i="30"/>
  <c r="F154" i="30"/>
  <c r="G154" i="30" s="1"/>
  <c r="J154" i="28"/>
  <c r="J155" i="28" s="1"/>
  <c r="I155" i="28"/>
  <c r="B152" i="37"/>
  <c r="J154" i="31"/>
  <c r="J155" i="31" s="1"/>
  <c r="I155" i="31"/>
  <c r="E152" i="39"/>
  <c r="F152" i="39" s="1"/>
  <c r="H152" i="39" s="1"/>
  <c r="B152" i="43"/>
  <c r="I153" i="47" l="1"/>
  <c r="H153" i="47"/>
  <c r="F154" i="47"/>
  <c r="G154" i="47" s="1"/>
  <c r="B154" i="47"/>
  <c r="G152" i="37"/>
  <c r="I152" i="37" s="1"/>
  <c r="D153" i="37"/>
  <c r="H154" i="30"/>
  <c r="H155" i="30" s="1"/>
  <c r="I154" i="30"/>
  <c r="G152" i="43"/>
  <c r="I152" i="43" s="1"/>
  <c r="D153" i="43"/>
  <c r="J153" i="30"/>
  <c r="G151" i="40"/>
  <c r="I151" i="40" s="1"/>
  <c r="D152" i="40"/>
  <c r="G152" i="39"/>
  <c r="I152" i="39" s="1"/>
  <c r="D153" i="39"/>
  <c r="I154" i="47" l="1"/>
  <c r="I155" i="47" s="1"/>
  <c r="H154" i="47"/>
  <c r="H155" i="47" s="1"/>
  <c r="E153" i="39"/>
  <c r="E153" i="43"/>
  <c r="F153" i="43" s="1"/>
  <c r="H153" i="43" s="1"/>
  <c r="E153" i="37"/>
  <c r="F153" i="37" s="1"/>
  <c r="H153" i="37" s="1"/>
  <c r="B152" i="40"/>
  <c r="B153" i="43"/>
  <c r="E152" i="40"/>
  <c r="F152" i="40" s="1"/>
  <c r="H152" i="40" s="1"/>
  <c r="B153" i="37"/>
  <c r="B153" i="39"/>
  <c r="F153" i="39"/>
  <c r="H153" i="39" s="1"/>
  <c r="J154" i="30"/>
  <c r="J155" i="30" s="1"/>
  <c r="I155" i="30"/>
  <c r="D153" i="40" l="1"/>
  <c r="G152" i="40"/>
  <c r="I152" i="40" s="1"/>
  <c r="G153" i="43"/>
  <c r="I153" i="43" s="1"/>
  <c r="D154" i="43"/>
  <c r="E154" i="43" s="1"/>
  <c r="E155" i="43" s="1"/>
  <c r="D154" i="37"/>
  <c r="E154" i="37" s="1"/>
  <c r="E155" i="37" s="1"/>
  <c r="G153" i="37"/>
  <c r="I153" i="37" s="1"/>
  <c r="G153" i="39"/>
  <c r="I153" i="39" s="1"/>
  <c r="D154" i="39"/>
  <c r="E154" i="39" s="1"/>
  <c r="E155" i="39" s="1"/>
  <c r="E153" i="40" l="1"/>
  <c r="F153" i="40" s="1"/>
  <c r="H153" i="40" s="1"/>
  <c r="F154" i="37"/>
  <c r="G154" i="37" s="1"/>
  <c r="B154" i="37"/>
  <c r="B154" i="39"/>
  <c r="F154" i="39"/>
  <c r="G154" i="39" s="1"/>
  <c r="B154" i="43"/>
  <c r="F154" i="43"/>
  <c r="G154" i="43" s="1"/>
  <c r="B153" i="40"/>
  <c r="H154" i="39" l="1"/>
  <c r="H155" i="39" s="1"/>
  <c r="I154" i="39"/>
  <c r="I155" i="39" s="1"/>
  <c r="G153" i="40"/>
  <c r="I153" i="40" s="1"/>
  <c r="D154" i="40"/>
  <c r="I154" i="43"/>
  <c r="I155" i="43" s="1"/>
  <c r="H154" i="43"/>
  <c r="H155" i="43" s="1"/>
  <c r="H154" i="37"/>
  <c r="H155" i="37" s="1"/>
  <c r="I154" i="37"/>
  <c r="I155" i="37" s="1"/>
  <c r="B154" i="40" l="1"/>
  <c r="E154" i="40"/>
  <c r="E155" i="40" s="1"/>
  <c r="F154" i="40" l="1"/>
  <c r="G154" i="40" s="1"/>
  <c r="H154" i="40" s="1"/>
  <c r="H155" i="40" s="1"/>
  <c r="I154" i="40" l="1"/>
  <c r="I155" i="40" s="1"/>
  <c r="I49" i="17" l="1"/>
  <c r="K35" i="17" l="1"/>
  <c r="L35" i="17" s="1"/>
  <c r="V35" i="17" s="1"/>
  <c r="K41" i="17"/>
  <c r="L41" i="17" s="1"/>
  <c r="V41" i="17" s="1"/>
  <c r="K21" i="17"/>
  <c r="L21" i="17" s="1"/>
  <c r="V21" i="17" s="1"/>
  <c r="K20" i="17"/>
  <c r="L20" i="17" s="1"/>
  <c r="V20" i="17" s="1"/>
  <c r="K27" i="17"/>
  <c r="L27" i="17" s="1"/>
  <c r="V27" i="17" s="1"/>
  <c r="K43" i="17"/>
  <c r="L43" i="17" s="1"/>
  <c r="V43" i="17" s="1"/>
  <c r="K22" i="17"/>
  <c r="L22" i="17" s="1"/>
  <c r="V22" i="17" s="1"/>
  <c r="K37" i="17"/>
  <c r="L37" i="17" s="1"/>
  <c r="V37" i="17" s="1"/>
  <c r="K30" i="17"/>
  <c r="L30" i="17" s="1"/>
  <c r="V30" i="17" s="1"/>
  <c r="K28" i="17"/>
  <c r="L28" i="17" s="1"/>
  <c r="V28" i="17" s="1"/>
  <c r="K19" i="17"/>
  <c r="L19" i="17" s="1"/>
  <c r="V19" i="17" s="1"/>
  <c r="K32" i="17"/>
  <c r="L32" i="17" s="1"/>
  <c r="V32" i="17" s="1"/>
  <c r="K38" i="17"/>
  <c r="L38" i="17" s="1"/>
  <c r="V38" i="17" s="1"/>
  <c r="K25" i="17"/>
  <c r="L25" i="17" s="1"/>
  <c r="V25" i="17" s="1"/>
  <c r="K33" i="17"/>
  <c r="L33" i="17" s="1"/>
  <c r="V33" i="17" s="1"/>
  <c r="K31" i="17"/>
  <c r="L31" i="17" s="1"/>
  <c r="V31" i="17" s="1"/>
  <c r="K40" i="17"/>
  <c r="L40" i="17" s="1"/>
  <c r="V40" i="17" s="1"/>
  <c r="K29" i="17"/>
  <c r="L29" i="17" s="1"/>
  <c r="V29" i="17" s="1"/>
  <c r="K18" i="17"/>
  <c r="L18" i="17" s="1"/>
  <c r="K34" i="17"/>
  <c r="L34" i="17" s="1"/>
  <c r="V34" i="17" s="1"/>
  <c r="K44" i="17"/>
  <c r="L44" i="17" s="1"/>
  <c r="V44" i="17" s="1"/>
  <c r="K24" i="17"/>
  <c r="L24" i="17" s="1"/>
  <c r="V24" i="17" s="1"/>
  <c r="K26" i="17"/>
  <c r="L26" i="17" s="1"/>
  <c r="V26" i="17" s="1"/>
  <c r="K36" i="17"/>
  <c r="L36" i="17" s="1"/>
  <c r="V36" i="17" s="1"/>
  <c r="K23" i="17"/>
  <c r="L23" i="17" s="1"/>
  <c r="V23" i="17" s="1"/>
  <c r="K42" i="17" l="1"/>
  <c r="L42" i="17" s="1"/>
  <c r="V42" i="17" s="1"/>
  <c r="K39" i="17"/>
  <c r="L39" i="17" s="1"/>
  <c r="V39" i="17" s="1"/>
  <c r="V18" i="17"/>
  <c r="K49" i="17" l="1"/>
  <c r="V48" i="17"/>
  <c r="L48" i="17" l="1"/>
  <c r="Q46" i="17" l="1"/>
  <c r="R46" i="17" s="1"/>
  <c r="T46" i="17" s="1"/>
  <c r="Q36" i="17"/>
  <c r="R36" i="17" s="1"/>
  <c r="T36" i="17" s="1"/>
  <c r="Q23" i="17"/>
  <c r="R23" i="17" s="1"/>
  <c r="T23" i="17" s="1"/>
  <c r="Q26" i="17"/>
  <c r="R26" i="17" s="1"/>
  <c r="T26" i="17" s="1"/>
  <c r="Q42" i="17"/>
  <c r="R42" i="17" s="1"/>
  <c r="T42" i="17" s="1"/>
  <c r="Q18" i="17"/>
  <c r="R18" i="17" s="1"/>
  <c r="Q43" i="17"/>
  <c r="R43" i="17" s="1"/>
  <c r="T43" i="17" s="1"/>
  <c r="Q45" i="17"/>
  <c r="R45" i="17" s="1"/>
  <c r="T45" i="17" s="1"/>
  <c r="Q25" i="17"/>
  <c r="R25" i="17" s="1"/>
  <c r="T25" i="17" s="1"/>
  <c r="Q41" i="17"/>
  <c r="R41" i="17" s="1"/>
  <c r="T41" i="17" s="1"/>
  <c r="Q24" i="17"/>
  <c r="R24" i="17" s="1"/>
  <c r="T24" i="17" s="1"/>
  <c r="Q29" i="17"/>
  <c r="R29" i="17" s="1"/>
  <c r="T29" i="17" s="1"/>
  <c r="Q22" i="17"/>
  <c r="R22" i="17" s="1"/>
  <c r="T22" i="17" s="1"/>
  <c r="Q34" i="17"/>
  <c r="R34" i="17" s="1"/>
  <c r="T34" i="17" s="1"/>
  <c r="Q44" i="17"/>
  <c r="R44" i="17" s="1"/>
  <c r="T44" i="17" s="1"/>
  <c r="Q32" i="17"/>
  <c r="R32" i="17" s="1"/>
  <c r="T32" i="17" s="1"/>
  <c r="Q30" i="17"/>
  <c r="R30" i="17" s="1"/>
  <c r="T30" i="17" s="1"/>
  <c r="Q27" i="17"/>
  <c r="R27" i="17" s="1"/>
  <c r="T27" i="17" s="1"/>
  <c r="Q21" i="17"/>
  <c r="R21" i="17" s="1"/>
  <c r="T21" i="17" s="1"/>
  <c r="Q35" i="17"/>
  <c r="R35" i="17" s="1"/>
  <c r="T35" i="17" s="1"/>
  <c r="Q39" i="17"/>
  <c r="R39" i="17" s="1"/>
  <c r="T39" i="17" s="1"/>
  <c r="Q20" i="17"/>
  <c r="R20" i="17" s="1"/>
  <c r="T20" i="17" s="1"/>
  <c r="Q19" i="17"/>
  <c r="R19" i="17" s="1"/>
  <c r="T19" i="17" s="1"/>
  <c r="Q31" i="17"/>
  <c r="R31" i="17" s="1"/>
  <c r="T31" i="17" s="1"/>
  <c r="Q37" i="17"/>
  <c r="R37" i="17" s="1"/>
  <c r="T37" i="17" s="1"/>
  <c r="Q33" i="17"/>
  <c r="R33" i="17" s="1"/>
  <c r="T33" i="17" s="1"/>
  <c r="Q38" i="17"/>
  <c r="R38" i="17" s="1"/>
  <c r="T38" i="17" s="1"/>
  <c r="Q28" i="17"/>
  <c r="R28" i="17" s="1"/>
  <c r="T28" i="17" s="1"/>
  <c r="Q40" i="17"/>
  <c r="R40" i="17" s="1"/>
  <c r="T40" i="17" s="1"/>
  <c r="Q49" i="17" l="1"/>
  <c r="T18" i="17"/>
  <c r="T48" i="17" s="1"/>
  <c r="R48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R.Pennybaker</author>
    <author>AEP</author>
    <author>rlp</author>
    <author>S177040</author>
  </authors>
  <commentList>
    <comment ref="C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1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E1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Base ARR is in cell [P.xxx]!$N$5]</t>
        </r>
      </text>
    </comment>
    <comment ref="F1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Incentive ARR is in WS-F cell N7.</t>
        </r>
      </text>
    </comment>
    <comment ref="I16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"TRUE-UP Adjustment (i.e., Forecast Error) is from WS-G sheet [P.00x] in cell M89.</t>
        </r>
      </text>
    </comment>
    <comment ref="J1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"Manually input from previous year's update "</t>
        </r>
        <r>
          <rPr>
            <i/>
            <sz val="8"/>
            <color indexed="81"/>
            <rFont val="Tahoma"/>
            <family val="2"/>
          </rPr>
          <t>Schedule 11 Rates by Project</t>
        </r>
        <r>
          <rPr>
            <sz val="8"/>
            <color indexed="81"/>
            <rFont val="Tahoma"/>
            <family val="2"/>
          </rPr>
          <t>" sheet column Q.</t>
        </r>
      </text>
    </comment>
    <comment ref="K16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These values reflect SPP remittance to AEP of Schedule 11 revenues for prior Calendar Year T-service transactions.</t>
        </r>
      </text>
    </comment>
    <comment ref="L16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can also be referred to as the Billing Error.</t>
        </r>
      </text>
    </comment>
    <comment ref="N16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This is "Prior Year True-Up (WS-G)"; and "Incentive Amounts" O88</t>
        </r>
      </text>
    </comment>
    <comment ref="O16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Prior Year Projected (WS-F) and Incentive Amounts [cell O87]</t>
        </r>
      </text>
    </comment>
    <comment ref="C28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  <comment ref="K48" authorId="2" shapeId="0" xr:uid="{00000000-0006-0000-0000-00000C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This amount was booked by AEP during CY 2014.  Represents Sch. 11 revenues remitted from SPP&gt;</t>
        </r>
      </text>
    </comment>
    <comment ref="Q48" authorId="3" shapeId="0" xr:uid="{00000000-0006-0000-0000-00000D000000}">
      <text>
        <r>
          <rPr>
            <b/>
            <sz val="9"/>
            <color indexed="81"/>
            <rFont val="Tahoma"/>
            <family val="2"/>
          </rPr>
          <t>S177040:</t>
        </r>
        <r>
          <rPr>
            <sz val="9"/>
            <color indexed="81"/>
            <rFont val="Tahoma"/>
            <family val="2"/>
          </rPr>
          <t xml:space="preserve">
From "33" Base Plan Interest file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R.Pennybaker</author>
  </authors>
  <commentList>
    <comment ref="L1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value comes from Formula Template file via data INPUT table below.  Then, it supuplies the project year value to the P.xxx sheets.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D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previous years depreciation.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Williamson</author>
    <author>rlp</author>
  </authors>
  <commentList>
    <comment ref="O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Mary Williamson:</t>
        </r>
        <r>
          <rPr>
            <sz val="9"/>
            <color indexed="81"/>
            <rFont val="Tahoma"/>
            <family val="2"/>
          </rPr>
          <t xml:space="preserve">
Wavetrap at Snyder portion of this project is being DA to WFEC due to the cancellation of their power plant construction.</t>
        </r>
      </text>
    </comment>
    <comment ref="D100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prior year(s) depreciation.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G17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Projected 2008 ARR not published in 2008 update because project not included until 2009 update.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D20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(not prev published).</t>
        </r>
      </text>
    </comment>
    <comment ref="D100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2007/6 historic values from 09 template calculations (not prev published).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D19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calculations (data not prev published).</t>
        </r>
      </text>
    </comment>
    <comment ref="D100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2008/7 hist values from 09 template (not prev published).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AEP</author>
  </authors>
  <commentList>
    <comment ref="D10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Per SPP NTC, Investment (EOY) is input as 94% of actual total investment provided by Planning.</t>
        </r>
      </text>
    </comment>
    <comment ref="D20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This year's Beginning Balance changed by both an IU (investment update) as well as starting the 94% scaler.  This year (2014) reflects 1st year Investment (EOY) value is scaled 94% on the front end vs SPP scaling ARR values on the back end.</t>
        </r>
      </text>
    </comment>
  </commentList>
</comments>
</file>

<file path=xl/sharedStrings.xml><?xml version="1.0" encoding="utf-8"?>
<sst xmlns="http://schemas.openxmlformats.org/spreadsheetml/2006/main" count="3805" uniqueCount="356">
  <si>
    <t>I.</t>
  </si>
  <si>
    <t xml:space="preserve">   Project ROE Incentive Adder (Enter as whole number)</t>
  </si>
  <si>
    <t>&lt;==Incentive ROE  Cannot Exceed 12.45%</t>
  </si>
  <si>
    <t>SUMMARY OF PROJECTED ANNUAL BASE PLAN AND  NON-BASE PLAN REVENUE REQUIREMENTS</t>
  </si>
  <si>
    <t>%</t>
  </si>
  <si>
    <t>Cost</t>
  </si>
  <si>
    <t>Weighted cost</t>
  </si>
  <si>
    <t>Long Term Debt</t>
  </si>
  <si>
    <t>Rev Require</t>
  </si>
  <si>
    <t xml:space="preserve"> W Incentives</t>
  </si>
  <si>
    <t>Incentive Amounts</t>
  </si>
  <si>
    <t>Preferred Stock</t>
  </si>
  <si>
    <t>Common Stock</t>
  </si>
  <si>
    <t>PROJECTED YEAR</t>
  </si>
  <si>
    <t>R =</t>
  </si>
  <si>
    <r>
      <t xml:space="preserve">Note:  </t>
    </r>
    <r>
      <rPr>
        <sz val="10"/>
        <rFont val="Arial"/>
        <family val="2"/>
      </rPr>
      <t xml:space="preserve">Review formulas in summary to ensure the proper year's revenue requirement is being </t>
    </r>
  </si>
  <si>
    <t>accumulated for each project from the tables below.</t>
  </si>
  <si>
    <t xml:space="preserve">   R   (fom A. above)</t>
  </si>
  <si>
    <t xml:space="preserve">   Return (Rate Base  x  R)</t>
  </si>
  <si>
    <t xml:space="preserve">   Return   (from B. above)</t>
  </si>
  <si>
    <t xml:space="preserve">   EIT=(T/(1-T)) * (1-(WCLTD/WACC)) =</t>
  </si>
  <si>
    <t xml:space="preserve">   Income Tax Calculation  (Return  x  EIT)</t>
  </si>
  <si>
    <t xml:space="preserve">   Income Taxes</t>
  </si>
  <si>
    <t>II.</t>
  </si>
  <si>
    <t>A.   Determine Net Revenue Requirement less return and Income Taxes.</t>
  </si>
  <si>
    <t xml:space="preserve">   Net Revenue Requirement, Less Return and Taxes</t>
  </si>
  <si>
    <t xml:space="preserve">   Income Taxes  (from I.C. above)</t>
  </si>
  <si>
    <t xml:space="preserve">   Revenue Requirement w/ Gross Margin Taxes</t>
  </si>
  <si>
    <t xml:space="preserve">      Basis Point ROE increase (II B. above)</t>
  </si>
  <si>
    <t xml:space="preserve">       Apportioned Texas Revenues</t>
  </si>
  <si>
    <t xml:space="preserve">       Taxable, Apportioned Margin</t>
  </si>
  <si>
    <t xml:space="preserve">       Texas Gross Margin Tax Rate</t>
  </si>
  <si>
    <t xml:space="preserve">       Texas Gross Margin Tax Expense</t>
  </si>
  <si>
    <t xml:space="preserve">      Gross-up Required for Gross Margin Tax Expense </t>
  </si>
  <si>
    <t>Total Additional Gross Margin Tax Revenue Requirement</t>
  </si>
  <si>
    <t>III.</t>
  </si>
  <si>
    <t>Calculation of Composite Depreciation Rate</t>
  </si>
  <si>
    <t>Transmission Plant @ Beginning of Period (P.206, ln 58)</t>
  </si>
  <si>
    <t>Transmission Plant @ End of Period (P.207, ln 58)</t>
  </si>
  <si>
    <t>Composite Depreciation Rate</t>
  </si>
  <si>
    <t>Depreciable Life for Composite Depreciation Rate</t>
  </si>
  <si>
    <t>Round to nearest whole year</t>
  </si>
  <si>
    <t>IV.</t>
  </si>
  <si>
    <t>Determine the Revenue Requirement &amp; Additional Revenue Requirement for facilities receiving incentives.</t>
  </si>
  <si>
    <t>A.   Facilities receiving incentives accepted by FERC in Docket No.</t>
  </si>
  <si>
    <t xml:space="preserve">   (e.g. ER05-925-000)</t>
  </si>
  <si>
    <t xml:space="preserve">Project Description: </t>
  </si>
  <si>
    <t>Current Projected Year Incentive ARR</t>
  </si>
  <si>
    <t>DETAILS</t>
  </si>
  <si>
    <t>TP2006087</t>
  </si>
  <si>
    <t>Investment</t>
  </si>
  <si>
    <t>Current Year</t>
  </si>
  <si>
    <t>CUMMULATIVE HISTORY OF PROJECTED ANNUAL REVENUE REQUIREMENTS:</t>
  </si>
  <si>
    <t>Service Year (yyyy)</t>
  </si>
  <si>
    <t>ROE increase accepted by FERC (Basis Points)</t>
  </si>
  <si>
    <t>Service Month (1-12)</t>
  </si>
  <si>
    <t>FCR w/o incentives, less depreciation</t>
  </si>
  <si>
    <t xml:space="preserve">          TEMPLATE BELOW TO MAINTAIN HISTORY OF PROJECTED ARRS OVER THE </t>
  </si>
  <si>
    <t>Useful life</t>
  </si>
  <si>
    <t>FCR w/incentives approved for these facilities, less dep.</t>
  </si>
  <si>
    <t xml:space="preserve">         LIFE OF THE PROJECT.</t>
  </si>
  <si>
    <t>CIAC (Yes or No)</t>
  </si>
  <si>
    <t>No</t>
  </si>
  <si>
    <t>Annual Depreciation Expense</t>
  </si>
  <si>
    <t>Beginning</t>
  </si>
  <si>
    <t>Depreciation</t>
  </si>
  <si>
    <t>Ending</t>
  </si>
  <si>
    <t>Additional Rev.</t>
  </si>
  <si>
    <t>Project Rev Req't True-up</t>
  </si>
  <si>
    <t>True-up of Incentive</t>
  </si>
  <si>
    <t>Year</t>
  </si>
  <si>
    <t>Balance</t>
  </si>
  <si>
    <t>Expense</t>
  </si>
  <si>
    <t xml:space="preserve">Requirement </t>
  </si>
  <si>
    <t xml:space="preserve">with Incentives </t>
  </si>
  <si>
    <t xml:space="preserve">  </t>
  </si>
  <si>
    <t xml:space="preserve">w/o Incentives </t>
  </si>
  <si>
    <t>Project Totals</t>
  </si>
  <si>
    <t>additional incentive requirement is applicable for the life of this specific project.  Each year the revenue requirement calculated for SPP</t>
  </si>
  <si>
    <t xml:space="preserve">should be incremented by the amount of the incentive revenue calculated for that year on this project. </t>
  </si>
  <si>
    <t>TP2007059</t>
  </si>
  <si>
    <t>TP2006054</t>
  </si>
  <si>
    <t>TP2004147</t>
  </si>
  <si>
    <t>TP2005006</t>
  </si>
  <si>
    <t>Pryor Junction 138/69 Upgrade Transf</t>
  </si>
  <si>
    <t>TP2006090</t>
  </si>
  <si>
    <t>TP2007015</t>
  </si>
  <si>
    <t>TP2005046</t>
  </si>
  <si>
    <t>TP2004033</t>
  </si>
  <si>
    <t>SUMMARY OF TRUED-UP ANNUAL REVENUE REQUIREMENTS FOR SPP BPU &amp; NON-BPU PROJECTS</t>
  </si>
  <si>
    <t>TRUE-UP YEAR</t>
  </si>
  <si>
    <t>Determine the Revenue Requirement, and Additional Revenue Requirement for facilities receiving incentives.</t>
  </si>
  <si>
    <t>Project Description:</t>
  </si>
  <si>
    <t>Details</t>
  </si>
  <si>
    <t>True-Up Year</t>
  </si>
  <si>
    <t>CUMMULATIVE HISTORY OF TRUED-UP ANNUAL REVENUE REQUIREMENTS:</t>
  </si>
  <si>
    <t xml:space="preserve">          TEMPLATE BELOW TO MAINTAIN HISTORY OF TRUED-UP ARRS OVER THE </t>
  </si>
  <si>
    <t>Average</t>
  </si>
  <si>
    <t>Incentive Rev.</t>
  </si>
  <si>
    <t>BPU Rev Req't True-up</t>
  </si>
  <si>
    <r>
      <t xml:space="preserve">** </t>
    </r>
    <r>
      <rPr>
        <sz val="10"/>
        <rFont val="Arial"/>
        <family val="2"/>
      </rPr>
      <t xml:space="preserve"> This is the total amount that needs to be reported to SPP for billing to all regions. </t>
    </r>
  </si>
  <si>
    <t xml:space="preserve">Average </t>
  </si>
  <si>
    <t>BPU Rev. Req't.From Prior Year Template</t>
  </si>
  <si>
    <r>
      <t xml:space="preserve">   Return   (from </t>
    </r>
    <r>
      <rPr>
        <sz val="10"/>
        <rFont val="MS Serif"/>
        <family val="1"/>
      </rPr>
      <t>I</t>
    </r>
    <r>
      <rPr>
        <sz val="10"/>
        <rFont val="Arial"/>
        <family val="2"/>
      </rPr>
      <t>.B. above)</t>
    </r>
  </si>
  <si>
    <r>
      <t xml:space="preserve">Requirement </t>
    </r>
    <r>
      <rPr>
        <b/>
        <sz val="10"/>
        <color indexed="10"/>
        <rFont val="Arial"/>
        <family val="2"/>
      </rPr>
      <t>##</t>
    </r>
  </si>
  <si>
    <r>
      <t>with Incentives</t>
    </r>
    <r>
      <rPr>
        <b/>
        <sz val="10"/>
        <color indexed="10"/>
        <rFont val="Arial"/>
        <family val="2"/>
      </rPr>
      <t xml:space="preserve"> **</t>
    </r>
  </si>
  <si>
    <r>
      <t>##</t>
    </r>
    <r>
      <rPr>
        <b/>
        <sz val="10"/>
        <rFont val="Arial"/>
        <family val="2"/>
      </rPr>
      <t xml:space="preserve"> This is the calculation of  additional incentive revenue on projects deemed by the FERC to be eligible for an incentive return.  This</t>
    </r>
  </si>
  <si>
    <r>
      <t xml:space="preserve">##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</si>
  <si>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>inset project name here</t>
  </si>
  <si>
    <t>Long Term Debt %</t>
  </si>
  <si>
    <t>Long Term Debt Cost</t>
  </si>
  <si>
    <t>Preferred Stock %</t>
  </si>
  <si>
    <t>Preferred Stock Cost</t>
  </si>
  <si>
    <t>Common Stock %</t>
  </si>
  <si>
    <t>EXPORT DATA to Template PSO WS F</t>
  </si>
  <si>
    <t>STEP 2</t>
  </si>
  <si>
    <t>STEP 3</t>
  </si>
  <si>
    <t>PSO</t>
  </si>
  <si>
    <t xml:space="preserve">       Apportionment Factor to Texas (Worksheet K, ln 12)</t>
  </si>
  <si>
    <t>Black text is not used in this workbook.</t>
  </si>
  <si>
    <t>Blue text is used by this workbbok and driven by non WS-F Formula Rate template worksheets</t>
  </si>
  <si>
    <t>SEE INPUT/OUTPUT ranges to the right  ----&gt;</t>
  </si>
  <si>
    <t>SEE INPUT/OUTPUT ranges to the right  ------&gt;</t>
  </si>
  <si>
    <t xml:space="preserve">AEP West SPP Member Companies </t>
  </si>
  <si>
    <t>PUBLIC SERVICE COMPANY OF OKLAHOMA</t>
  </si>
  <si>
    <t>See INPUT/OUTPUT ranges below.</t>
  </si>
  <si>
    <t>STEP 1</t>
  </si>
  <si>
    <t>Is done first in the main Formula Rate template  Worksheet F.</t>
  </si>
  <si>
    <t>STEP 4</t>
  </si>
  <si>
    <t>Is done last in the main Formula Rate template  Worksheet F.</t>
  </si>
  <si>
    <t>Copy to main FR Template</t>
  </si>
  <si>
    <t>Project Description</t>
  </si>
  <si>
    <t>Is done first in the main Formula Rate template  Worksheet G.</t>
  </si>
  <si>
    <t>Is done last in the main Formula Rate template  Worksheet G.</t>
  </si>
  <si>
    <t>EXPORT DATA to main FR Template PSO WS G</t>
  </si>
  <si>
    <t>Blue text below is used by this workbbok and comes from main Formula Rate template WS-G sheet.</t>
  </si>
  <si>
    <t>As Projected in Prior Year WS F   Rev Require</t>
  </si>
  <si>
    <t>As Projected in Prior Year WS F    W Incentives</t>
  </si>
  <si>
    <t>Actual after True-up Rev Require</t>
  </si>
  <si>
    <t>Actual after True-up  W Incentives</t>
  </si>
  <si>
    <r>
      <t>Worksheet F</t>
    </r>
    <r>
      <rPr>
        <sz val="14"/>
        <rFont val="Arial"/>
        <family val="2"/>
      </rPr>
      <t xml:space="preserve"> - Calculation of PROJECTED Annual Revenue Requirement for BPU and Special-billed Projects</t>
    </r>
  </si>
  <si>
    <r>
      <t>Worksheet G</t>
    </r>
    <r>
      <rPr>
        <sz val="14"/>
        <rFont val="Arial"/>
        <family val="2"/>
      </rPr>
      <t xml:space="preserve"> - Calculation of TRUED-UP Annual Revenue Requirement for BPU and Special-billed Projects</t>
    </r>
  </si>
  <si>
    <t>Worksheet F --- DATA INPUT (Paste.Values) from TEMPLATE PSO WS F</t>
  </si>
  <si>
    <t>&lt;----Worksheet data is for</t>
  </si>
  <si>
    <t>Worksheet F</t>
  </si>
  <si>
    <t>Worksheet G</t>
  </si>
  <si>
    <r>
      <t>Worksheet G  --  PUBLIC SERVICE COMPANY OF OKLAHOMA  --  Calculation of "</t>
    </r>
    <r>
      <rPr>
        <b/>
        <u/>
        <sz val="16"/>
        <rFont val="Arial"/>
        <family val="2"/>
      </rPr>
      <t>Trued-Up</t>
    </r>
    <r>
      <rPr>
        <b/>
        <sz val="16"/>
        <rFont val="Arial"/>
        <family val="2"/>
      </rPr>
      <t>" ARR for SPP Base Plan Upgrade Projects</t>
    </r>
  </si>
  <si>
    <r>
      <t>Worksheet F  --  PUBLIC SERVICE COMPANY OF OKLAHOMA  --  Calculation of "</t>
    </r>
    <r>
      <rPr>
        <b/>
        <u/>
        <sz val="16"/>
        <rFont val="Arial"/>
        <family val="2"/>
      </rPr>
      <t>Projected</t>
    </r>
    <r>
      <rPr>
        <b/>
        <sz val="16"/>
        <rFont val="Arial"/>
        <family val="2"/>
      </rPr>
      <t>" ARR for SPP Base Plan Upgrade Projects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</si>
  <si>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</si>
  <si>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</si>
  <si>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 xml:space="preserve">(Worksheet F)    </t>
  </si>
  <si>
    <t xml:space="preserve">(Worksheet G)    </t>
  </si>
  <si>
    <t>basis points</t>
  </si>
  <si>
    <t>w/Incentives</t>
  </si>
  <si>
    <t xml:space="preserve">Prior Year Projected  (WS-F)  </t>
  </si>
  <si>
    <t xml:space="preserve">Prior Year True-Up  (WS-G)  </t>
  </si>
  <si>
    <t xml:space="preserve">True-Up Adjustment  </t>
  </si>
  <si>
    <t>AEP Transmission Formula Rate Template</t>
  </si>
  <si>
    <t xml:space="preserve">AEP Schedule 11 Revenue Requirement Including True-Up of Prior Collections </t>
  </si>
  <si>
    <t>(A)</t>
  </si>
  <si>
    <t>(B)</t>
  </si>
  <si>
    <t>(C )</t>
  </si>
  <si>
    <t>(D)</t>
  </si>
  <si>
    <t>(E)</t>
  </si>
  <si>
    <t>(F)</t>
  </si>
  <si>
    <t>(H)</t>
  </si>
  <si>
    <t>(I)</t>
  </si>
  <si>
    <t>(M)</t>
  </si>
  <si>
    <t>Base ARR</t>
  </si>
  <si>
    <t>Owner</t>
  </si>
  <si>
    <t>Year in Service</t>
  </si>
  <si>
    <t>Incentive</t>
  </si>
  <si>
    <t>Total</t>
  </si>
  <si>
    <t>True-up</t>
  </si>
  <si>
    <t>As Billed</t>
  </si>
  <si>
    <t>Change</t>
  </si>
  <si>
    <t>Interest</t>
  </si>
  <si>
    <t>PSO Total</t>
  </si>
  <si>
    <t>P.001</t>
  </si>
  <si>
    <t>Sheet Name</t>
  </si>
  <si>
    <t>P.002</t>
  </si>
  <si>
    <t>P.003</t>
  </si>
  <si>
    <t>P.004</t>
  </si>
  <si>
    <t>P.005</t>
  </si>
  <si>
    <t>P.006</t>
  </si>
  <si>
    <t>P.007</t>
  </si>
  <si>
    <t>P.008</t>
  </si>
  <si>
    <t>P.009</t>
  </si>
  <si>
    <t>Indirect References</t>
  </si>
  <si>
    <r>
      <t xml:space="preserve">Calculation of Schedule </t>
    </r>
    <r>
      <rPr>
        <sz val="12"/>
        <rFont val="Arial"/>
        <family val="2"/>
      </rPr>
      <t>11 Revenue Requirements For AEP Transmission Projects</t>
    </r>
  </si>
  <si>
    <r>
      <t xml:space="preserve">   DO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delete this row or the formulas above will not work.</t>
    </r>
  </si>
  <si>
    <t>from WS-F &amp; G</t>
  </si>
  <si>
    <t>Do NOT delete.</t>
  </si>
  <si>
    <r>
      <t xml:space="preserve">TRUE-UP Adjustment </t>
    </r>
    <r>
      <rPr>
        <sz val="10"/>
        <rFont val="Arial"/>
        <family val="2"/>
      </rPr>
      <t>(WS-G)</t>
    </r>
  </si>
  <si>
    <r>
      <t xml:space="preserve">Base ARR
</t>
    </r>
    <r>
      <rPr>
        <sz val="10"/>
        <rFont val="Arial"/>
        <family val="2"/>
      </rPr>
      <t>(WS-F)</t>
    </r>
  </si>
  <si>
    <t>COLLECTION Adjustment</t>
  </si>
  <si>
    <t>Incentive ARR</t>
  </si>
  <si>
    <t>(J)</t>
  </si>
  <si>
    <t>(L)</t>
  </si>
  <si>
    <t>(O)</t>
  </si>
  <si>
    <t>Total Adjustments before Interest</t>
  </si>
  <si>
    <t>the column above</t>
  </si>
  <si>
    <t>is used to feed interest</t>
  </si>
  <si>
    <t>calculation engine and its</t>
  </si>
  <si>
    <t>output is put into the interest</t>
  </si>
  <si>
    <t>PROJECTED Rev. Req't From Prior Year Template</t>
  </si>
  <si>
    <t>Catoosa 138 kV Device (Cap. Bank)</t>
  </si>
  <si>
    <t>Cache-Snyder to Altus Jct. 138 kV line (w/2 ring bus stations)</t>
  </si>
  <si>
    <t>WFEC New 138 kV Ties: Sayre to Erick (WFEC) Line &amp; Atoka and Tupelo station work</t>
  </si>
  <si>
    <t>Riverside-Glenpool (81-523) Reconductor</t>
  </si>
  <si>
    <t>Craig Jct. to Broken Bow Dam 138 Rebuild (7.7mi)</t>
  </si>
  <si>
    <t>TRUE-UP Rev. Req't.From Prior Year Template</t>
  </si>
  <si>
    <t xml:space="preserve"> Worksheet G</t>
  </si>
  <si>
    <r>
      <t xml:space="preserve">As Billed
by SPP
</t>
    </r>
    <r>
      <rPr>
        <sz val="10"/>
        <rFont val="Arial"/>
        <family val="2"/>
      </rPr>
      <t>(for Prior Yr
T-Service)</t>
    </r>
  </si>
  <si>
    <t>Elk City - Elk City 69 kV line (CT Upgrades)*</t>
  </si>
  <si>
    <t>Weleetka &amp; Okmulgee Wavetrap replacement 81-805*</t>
  </si>
  <si>
    <t>Tulsa Southeast Upgrade (repl switches)*</t>
  </si>
  <si>
    <t>*&lt;$100K investment</t>
  </si>
  <si>
    <t xml:space="preserve">∑ Prior Year True-Up  (WS-G)  </t>
  </si>
  <si>
    <t xml:space="preserve">∑ Prior Year Projected  (WS-F)  </t>
  </si>
  <si>
    <r>
      <t xml:space="preserve">Total Adjustments
</t>
    </r>
    <r>
      <rPr>
        <sz val="8"/>
        <rFont val="Arial"/>
        <family val="2"/>
      </rPr>
      <t>(True-Up, Billing, &amp; Interest)</t>
    </r>
  </si>
  <si>
    <t>TP2009011</t>
  </si>
  <si>
    <t>P.010</t>
  </si>
  <si>
    <t>Projected ADJUSTED ARR from Prior Update</t>
  </si>
  <si>
    <t>*</t>
  </si>
  <si>
    <t>column to left (Q).</t>
  </si>
  <si>
    <t>Investment (EOY)</t>
  </si>
  <si>
    <t>Worksheet G ---- DATA INPUT (Paste.Values) from main FR TEMPLATE PSO WS G</t>
  </si>
  <si>
    <t>TP2008079-PSO</t>
  </si>
  <si>
    <t>Bartlesville SE to Coffeyville T Rebuild</t>
  </si>
  <si>
    <t>P.011</t>
  </si>
  <si>
    <t xml:space="preserve">   Determine R  (cost of long term debt, cost of preferred stock and percent is from Projected TCOS, lns 147 through 149)</t>
  </si>
  <si>
    <t xml:space="preserve">   Rate Base  (True-Up TCOS, ln 63)</t>
  </si>
  <si>
    <t xml:space="preserve">   Net Transmission Plant  (True-Up TCOS, ln 39)</t>
  </si>
  <si>
    <t xml:space="preserve">   FCR less Depreciation  (True-Up TCOS, ln 12)</t>
  </si>
  <si>
    <t xml:space="preserve">   Determine R  (cost of long term debt, cost of preferred stock and percent is from True-Up TCOS, lns 134 through 136)</t>
  </si>
  <si>
    <t>TP2009095-PSO</t>
  </si>
  <si>
    <t>Canadian River - McAlester City 138 kV Line Conversion</t>
  </si>
  <si>
    <t>P.012</t>
  </si>
  <si>
    <t>TP2008013</t>
  </si>
  <si>
    <t>P.013</t>
  </si>
  <si>
    <t>TP2009092</t>
  </si>
  <si>
    <t>Ashdown West - Craig Junction</t>
  </si>
  <si>
    <t>P.014</t>
  </si>
  <si>
    <t>NOTE:</t>
  </si>
  <si>
    <t>To INSERT a new project line item (row)</t>
  </si>
  <si>
    <t>1.   Insert blank row(s) for new project(s) between TOTAL row and existing last project row.</t>
  </si>
  <si>
    <t>2.  Copy entire contents of last project Row, then Paste into new blank row(s), again….leave 1 blank row to maintain summing formulas.</t>
  </si>
  <si>
    <t>0a.  Always maintain a blank row between TOTAL and last project (this maintains summing formulas in Totalization row.</t>
  </si>
  <si>
    <t>0b.   Always add and fill out new P.0xx Project Sheet(s) before inserting rows on this summary sheet.</t>
  </si>
  <si>
    <t>3.  In the SheetName column in this sheet…change the P.0xx type number(s) to match the corresponding newly added P.0xx sheets.</t>
  </si>
  <si>
    <t>WFEC DA Adjustment</t>
  </si>
  <si>
    <t>TP2009093</t>
  </si>
  <si>
    <t>Locust Grove to Lone Star 115 kV Rebuild 2.1 miles</t>
  </si>
  <si>
    <t>TP2011093</t>
  </si>
  <si>
    <t>Cornville Station Conversion</t>
  </si>
  <si>
    <t>P.015</t>
  </si>
  <si>
    <t>P.016</t>
  </si>
  <si>
    <t>Wavetrap Clinton City-Foss Tap 69kV Ckt 1*</t>
  </si>
  <si>
    <t>CoffeyvilleT to Dearing 138 kv Rebuild - 1.1 mi*</t>
  </si>
  <si>
    <t>Note:  Project's whose investment cost do NOT meet SPP's $100,000 threshold for 'regional' socialization are marked with an asterik "*" as SPP will only collect those ATRRs from the zone.</t>
  </si>
  <si>
    <t xml:space="preserve">  SPP Project ID = 649</t>
  </si>
  <si>
    <t xml:space="preserve">  SPP Project ID = 30346</t>
  </si>
  <si>
    <t>NOTE:  Original NTC indicates only 94% to be Base Plan.</t>
  </si>
  <si>
    <t>&lt;&lt; 2014-present ARR values based on 94% actual cost.  Yrs 2011-13 ARR values based on 100% actual cost (SPP scaled ARR data) &gt;&gt;</t>
  </si>
  <si>
    <t>Grady Customer Connection</t>
  </si>
  <si>
    <t>Darlington-Red Rock 138 kV line</t>
  </si>
  <si>
    <t>P.017</t>
  </si>
  <si>
    <t>P.018</t>
  </si>
  <si>
    <t>***Sch. 11 recovery commenced in 2015 rate year***</t>
  </si>
  <si>
    <t xml:space="preserve"> &lt;--- this value goes to sched 11 interest support file - line 17</t>
  </si>
  <si>
    <t>2013</t>
  </si>
  <si>
    <t>2014</t>
  </si>
  <si>
    <t>TP2012112</t>
  </si>
  <si>
    <t xml:space="preserve">***Sch. 11 recovery commenced in the 2015 rate year.  Beg Bal = to depreciated balance as of 1/1/15. *** </t>
  </si>
  <si>
    <t>P.019</t>
  </si>
  <si>
    <t>P.020</t>
  </si>
  <si>
    <t>P.021</t>
  </si>
  <si>
    <t>P.022</t>
  </si>
  <si>
    <t>Darlington-Roman Nose 138 kV</t>
  </si>
  <si>
    <t>Northeastern Station 138 kV Terminal Upgrades</t>
  </si>
  <si>
    <t>Valliant-NW Texarkana 345 kV</t>
  </si>
  <si>
    <t>Sayre 138 kV Capacitor Bank Addition</t>
  </si>
  <si>
    <t>&lt;==From Input on Worksheet A</t>
  </si>
  <si>
    <t>Current Projected Year ARR</t>
  </si>
  <si>
    <t>Current Projected Year ARR w/ Incentive</t>
  </si>
  <si>
    <t>Beg/Ending 
Average
Revenue</t>
  </si>
  <si>
    <t>Beg/Ending
Average
Revenue Req't.</t>
  </si>
  <si>
    <t xml:space="preserve">       Taxable Percentage of Revenue (22%)</t>
  </si>
  <si>
    <t xml:space="preserve">Worksheet F </t>
  </si>
  <si>
    <t xml:space="preserve">   FCR less Depreciation  (Projected TCOS, ln 12)</t>
  </si>
  <si>
    <t>TP2013002</t>
  </si>
  <si>
    <t xml:space="preserve">  SPP Project ID = 30748</t>
  </si>
  <si>
    <t xml:space="preserve">  SPP Project ID = 770</t>
  </si>
  <si>
    <t xml:space="preserve">  SPP Project ID = 295</t>
  </si>
  <si>
    <t xml:space="preserve">  SPP Project ID = 767</t>
  </si>
  <si>
    <t>TP2009089</t>
  </si>
  <si>
    <t xml:space="preserve">  SPP Project ID = 936</t>
  </si>
  <si>
    <t>TP2015202</t>
  </si>
  <si>
    <t xml:space="preserve">  SPP Project ID = 30997</t>
  </si>
  <si>
    <t>TP2015027</t>
  </si>
  <si>
    <t xml:space="preserve">  SPP Project ID = 30619</t>
  </si>
  <si>
    <t>TP2015169</t>
  </si>
  <si>
    <t xml:space="preserve">  SPP Project ID = 31003</t>
  </si>
  <si>
    <t>Elk City 138KV Move Load</t>
  </si>
  <si>
    <t>TP2011110</t>
  </si>
  <si>
    <t xml:space="preserve">  SPP Project ID = 31005</t>
  </si>
  <si>
    <t>Duncan-Comanche Tap 69 KV Rebuild</t>
  </si>
  <si>
    <t>TP2015191</t>
  </si>
  <si>
    <t xml:space="preserve">  SPP Project ID = 31009</t>
  </si>
  <si>
    <t>P.023</t>
  </si>
  <si>
    <t>P.024</t>
  </si>
  <si>
    <t xml:space="preserve">   ROE w/o incentives  (Projected TCOS, ln 148)</t>
  </si>
  <si>
    <t>Annual Depreciation Expense  (Historic TCOS, ln 244)</t>
  </si>
  <si>
    <t xml:space="preserve">   ROE w/o incentives  (True-Up TCOS, ln 135)</t>
  </si>
  <si>
    <t xml:space="preserve">   Tax Rate  (True-Up TCOS, ln 105)</t>
  </si>
  <si>
    <t xml:space="preserve">   ITC Adjustment  (True-Up TCOS, ln 102)</t>
  </si>
  <si>
    <t xml:space="preserve">   Net Revenue Requirement  (True-Up TCOS, ln 109)</t>
  </si>
  <si>
    <t xml:space="preserve">   Return  (True-Up TCOS, ln 104)</t>
  </si>
  <si>
    <t xml:space="preserve">   Income Taxes  (True-Up TCOS, ln 103)</t>
  </si>
  <si>
    <t xml:space="preserve">  Gross Margin Taxes  (True-Up TCOS, ln 108)</t>
  </si>
  <si>
    <t xml:space="preserve">   Less: Depreciation  (True-Up TCOS, ln 82)</t>
  </si>
  <si>
    <t>Annual Depreciation Expense  (True-Up TCOS, ln 82)</t>
  </si>
  <si>
    <t>Fort Towson-Valliant Line Rebuild</t>
  </si>
  <si>
    <t>TP2015204</t>
  </si>
  <si>
    <t>P.025</t>
  </si>
  <si>
    <t>Transmission Plant Average Balance for 2018</t>
  </si>
  <si>
    <t xml:space="preserve">   Excess DFIT Adjustment  (TCOS, ln 109)</t>
  </si>
  <si>
    <t xml:space="preserve">   Tax Effect of Permanent and Flow Through Differences (TCOS, ln 110)</t>
  </si>
  <si>
    <t xml:space="preserve">   Rate Base  (TCOS, ln 62)</t>
  </si>
  <si>
    <t xml:space="preserve">   Tax Rate  (TCOS, ln 97)</t>
  </si>
  <si>
    <t xml:space="preserve">   ITC Adjustment  (TCOS, ln 106)</t>
  </si>
  <si>
    <t xml:space="preserve">   Excess DFIT Adjustment  (TCOS, ln 107)</t>
  </si>
  <si>
    <t xml:space="preserve">   Tax Effect of Permanent and Flow Through Differences  (TCOS, ln 108)</t>
  </si>
  <si>
    <t xml:space="preserve">   Net Revenue Requirement  (TCOS, ln 115)</t>
  </si>
  <si>
    <t xml:space="preserve">   Return  (TCOS, ln 110)</t>
  </si>
  <si>
    <t xml:space="preserve">   Income Taxes  (TCOS, ln 109)</t>
  </si>
  <si>
    <t xml:space="preserve">  Gross Margin Taxes  (TCOS, ln 114)</t>
  </si>
  <si>
    <t xml:space="preserve">   Less: Depreciation  (TCOS, ln 84)</t>
  </si>
  <si>
    <t xml:space="preserve">   Net Transmission Plant  (TCOS, ln 37)</t>
  </si>
  <si>
    <t>P.026</t>
  </si>
  <si>
    <t>P.027</t>
  </si>
  <si>
    <t>Tulsa Southeast - E. 61st St 138 kV Rebuild</t>
  </si>
  <si>
    <t>Broken Arrow North-Lynn Lane East 138 kV</t>
  </si>
  <si>
    <t>TP2017011</t>
  </si>
  <si>
    <t>TP2017016</t>
  </si>
  <si>
    <t>Keystone Dam - Wekiwa 138 kV</t>
  </si>
  <si>
    <t>P.028</t>
  </si>
  <si>
    <t>Transmission Plant Average Balance for 2020</t>
  </si>
  <si>
    <t>True-Up ARR CY 2021 From Worksheet G  (includes adjustment for SPP Collections)</t>
  </si>
  <si>
    <t>TP2015118</t>
  </si>
  <si>
    <t xml:space="preserve">  SPP Project ID = 30809</t>
  </si>
  <si>
    <t>Tulsa SE - E 21st St Tap 138 kV</t>
  </si>
  <si>
    <t xml:space="preserve">  SPP Project ID = 81523</t>
  </si>
  <si>
    <t>TP2020033004</t>
  </si>
  <si>
    <t>P.029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</si>
</sst>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  <numFmt numFmtId="167" formatCode="0.0000"/>
    <numFmt numFmtId="168" formatCode="&quot;$&quot;#,##0"/>
    <numFmt numFmtId="169" formatCode="&quot;$&quot;#,##0.00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* #,##0.0000_);_(* \(#,##0.0000\);_(* &quot;-&quot;_);_(@_)"/>
    <numFmt numFmtId="174" formatCode="_(* #,##0.00000_);_(* \(#,##0.00000\);_(* &quot;-&quot;??_);_(@_)"/>
    <numFmt numFmtId="175" formatCode="_(&quot;$&quot;* #,##0.0000000_);_(&quot;$&quot;* \(#,##0.0000000\);_(&quot;$&quot;* &quot;-&quot;??_);_(@_)"/>
    <numFmt numFmtId="176" formatCode="_(* #,##0.0000000000_);_(* \(#,##0.0000000000\);_(* &quot;-&quot;??_);_(@_)"/>
    <numFmt numFmtId="177" formatCode="_(* #,##0.000000_);_(* \(#,##0.000000\);_(* &quot;-&quot;??_);_(@_)"/>
    <numFmt numFmtId="178" formatCode="&quot;$&quot;#,##0\ ;\(&quot;$&quot;#,##0\)"/>
    <numFmt numFmtId="179" formatCode="_(* #,##0.0,_);_(* \(#,##0.0,\);_(* &quot;-   &quot;_);_(@_)"/>
    <numFmt numFmtId="180" formatCode="0.0000%"/>
  </numFmts>
  <fonts count="123">
    <font>
      <sz val="10"/>
      <name val="Arial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2"/>
      <name val="Arial MT"/>
    </font>
    <font>
      <b/>
      <sz val="11"/>
      <color indexed="63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MS Serif"/>
      <family val="1"/>
    </font>
    <font>
      <u/>
      <sz val="10"/>
      <name val="Arial"/>
      <family val="2"/>
    </font>
    <font>
      <sz val="10"/>
      <name val="MS Serif"/>
      <family val="1"/>
    </font>
    <font>
      <b/>
      <sz val="16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57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color indexed="12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i/>
      <sz val="8"/>
      <color indexed="81"/>
      <name val="Tahoma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0"/>
      <color indexed="8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FF"/>
      <name val="Arial"/>
      <family val="2"/>
    </font>
    <font>
      <sz val="10"/>
      <color rgb="FF0033CC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5">
    <xf numFmtId="0" fontId="0" fillId="0" borderId="0"/>
    <xf numFmtId="0" fontId="2" fillId="2" borderId="0" applyNumberFormat="0" applyBorder="0" applyAlignment="0" applyProtection="0"/>
    <xf numFmtId="0" fontId="104" fillId="30" borderId="0" applyNumberFormat="0" applyBorder="0" applyAlignment="0" applyProtection="0"/>
    <xf numFmtId="0" fontId="81" fillId="2" borderId="0" applyNumberFormat="0" applyBorder="0" applyAlignment="0" applyProtection="0"/>
    <xf numFmtId="0" fontId="2" fillId="3" borderId="0" applyNumberFormat="0" applyBorder="0" applyAlignment="0" applyProtection="0"/>
    <xf numFmtId="0" fontId="104" fillId="31" borderId="0" applyNumberFormat="0" applyBorder="0" applyAlignment="0" applyProtection="0"/>
    <xf numFmtId="0" fontId="81" fillId="3" borderId="0" applyNumberFormat="0" applyBorder="0" applyAlignment="0" applyProtection="0"/>
    <xf numFmtId="0" fontId="2" fillId="4" borderId="0" applyNumberFormat="0" applyBorder="0" applyAlignment="0" applyProtection="0"/>
    <xf numFmtId="0" fontId="104" fillId="32" borderId="0" applyNumberFormat="0" applyBorder="0" applyAlignment="0" applyProtection="0"/>
    <xf numFmtId="0" fontId="81" fillId="4" borderId="0" applyNumberFormat="0" applyBorder="0" applyAlignment="0" applyProtection="0"/>
    <xf numFmtId="0" fontId="2" fillId="5" borderId="0" applyNumberFormat="0" applyBorder="0" applyAlignment="0" applyProtection="0"/>
    <xf numFmtId="0" fontId="104" fillId="33" borderId="0" applyNumberFormat="0" applyBorder="0" applyAlignment="0" applyProtection="0"/>
    <xf numFmtId="0" fontId="81" fillId="5" borderId="0" applyNumberFormat="0" applyBorder="0" applyAlignment="0" applyProtection="0"/>
    <xf numFmtId="0" fontId="2" fillId="6" borderId="0" applyNumberFormat="0" applyBorder="0" applyAlignment="0" applyProtection="0"/>
    <xf numFmtId="0" fontId="104" fillId="34" borderId="0" applyNumberFormat="0" applyBorder="0" applyAlignment="0" applyProtection="0"/>
    <xf numFmtId="0" fontId="81" fillId="6" borderId="0" applyNumberFormat="0" applyBorder="0" applyAlignment="0" applyProtection="0"/>
    <xf numFmtId="0" fontId="2" fillId="7" borderId="0" applyNumberFormat="0" applyBorder="0" applyAlignment="0" applyProtection="0"/>
    <xf numFmtId="0" fontId="104" fillId="35" borderId="0" applyNumberFormat="0" applyBorder="0" applyAlignment="0" applyProtection="0"/>
    <xf numFmtId="0" fontId="81" fillId="7" borderId="0" applyNumberFormat="0" applyBorder="0" applyAlignment="0" applyProtection="0"/>
    <xf numFmtId="0" fontId="2" fillId="8" borderId="0" applyNumberFormat="0" applyBorder="0" applyAlignment="0" applyProtection="0"/>
    <xf numFmtId="0" fontId="104" fillId="36" borderId="0" applyNumberFormat="0" applyBorder="0" applyAlignment="0" applyProtection="0"/>
    <xf numFmtId="0" fontId="81" fillId="8" borderId="0" applyNumberFormat="0" applyBorder="0" applyAlignment="0" applyProtection="0"/>
    <xf numFmtId="0" fontId="2" fillId="9" borderId="0" applyNumberFormat="0" applyBorder="0" applyAlignment="0" applyProtection="0"/>
    <xf numFmtId="0" fontId="104" fillId="37" borderId="0" applyNumberFormat="0" applyBorder="0" applyAlignment="0" applyProtection="0"/>
    <xf numFmtId="0" fontId="81" fillId="9" borderId="0" applyNumberFormat="0" applyBorder="0" applyAlignment="0" applyProtection="0"/>
    <xf numFmtId="0" fontId="2" fillId="10" borderId="0" applyNumberFormat="0" applyBorder="0" applyAlignment="0" applyProtection="0"/>
    <xf numFmtId="0" fontId="104" fillId="38" borderId="0" applyNumberFormat="0" applyBorder="0" applyAlignment="0" applyProtection="0"/>
    <xf numFmtId="0" fontId="81" fillId="10" borderId="0" applyNumberFormat="0" applyBorder="0" applyAlignment="0" applyProtection="0"/>
    <xf numFmtId="0" fontId="2" fillId="5" borderId="0" applyNumberFormat="0" applyBorder="0" applyAlignment="0" applyProtection="0"/>
    <xf numFmtId="0" fontId="104" fillId="39" borderId="0" applyNumberFormat="0" applyBorder="0" applyAlignment="0" applyProtection="0"/>
    <xf numFmtId="0" fontId="81" fillId="5" borderId="0" applyNumberFormat="0" applyBorder="0" applyAlignment="0" applyProtection="0"/>
    <xf numFmtId="0" fontId="2" fillId="8" borderId="0" applyNumberFormat="0" applyBorder="0" applyAlignment="0" applyProtection="0"/>
    <xf numFmtId="0" fontId="104" fillId="40" borderId="0" applyNumberFormat="0" applyBorder="0" applyAlignment="0" applyProtection="0"/>
    <xf numFmtId="0" fontId="81" fillId="8" borderId="0" applyNumberFormat="0" applyBorder="0" applyAlignment="0" applyProtection="0"/>
    <xf numFmtId="0" fontId="2" fillId="11" borderId="0" applyNumberFormat="0" applyBorder="0" applyAlignment="0" applyProtection="0"/>
    <xf numFmtId="0" fontId="104" fillId="41" borderId="0" applyNumberFormat="0" applyBorder="0" applyAlignment="0" applyProtection="0"/>
    <xf numFmtId="0" fontId="81" fillId="11" borderId="0" applyNumberFormat="0" applyBorder="0" applyAlignment="0" applyProtection="0"/>
    <xf numFmtId="0" fontId="3" fillId="12" borderId="0" applyNumberFormat="0" applyBorder="0" applyAlignment="0" applyProtection="0"/>
    <xf numFmtId="0" fontId="105" fillId="42" borderId="0" applyNumberFormat="0" applyBorder="0" applyAlignment="0" applyProtection="0"/>
    <xf numFmtId="0" fontId="87" fillId="12" borderId="0" applyNumberFormat="0" applyBorder="0" applyAlignment="0" applyProtection="0"/>
    <xf numFmtId="0" fontId="3" fillId="9" borderId="0" applyNumberFormat="0" applyBorder="0" applyAlignment="0" applyProtection="0"/>
    <xf numFmtId="0" fontId="105" fillId="43" borderId="0" applyNumberFormat="0" applyBorder="0" applyAlignment="0" applyProtection="0"/>
    <xf numFmtId="0" fontId="87" fillId="9" borderId="0" applyNumberFormat="0" applyBorder="0" applyAlignment="0" applyProtection="0"/>
    <xf numFmtId="0" fontId="3" fillId="10" borderId="0" applyNumberFormat="0" applyBorder="0" applyAlignment="0" applyProtection="0"/>
    <xf numFmtId="0" fontId="105" fillId="44" borderId="0" applyNumberFormat="0" applyBorder="0" applyAlignment="0" applyProtection="0"/>
    <xf numFmtId="0" fontId="87" fillId="10" borderId="0" applyNumberFormat="0" applyBorder="0" applyAlignment="0" applyProtection="0"/>
    <xf numFmtId="0" fontId="3" fillId="13" borderId="0" applyNumberFormat="0" applyBorder="0" applyAlignment="0" applyProtection="0"/>
    <xf numFmtId="0" fontId="105" fillId="45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46" borderId="0" applyNumberFormat="0" applyBorder="0" applyAlignment="0" applyProtection="0"/>
    <xf numFmtId="0" fontId="87" fillId="14" borderId="0" applyNumberFormat="0" applyBorder="0" applyAlignment="0" applyProtection="0"/>
    <xf numFmtId="0" fontId="3" fillId="15" borderId="0" applyNumberFormat="0" applyBorder="0" applyAlignment="0" applyProtection="0"/>
    <xf numFmtId="0" fontId="105" fillId="47" borderId="0" applyNumberFormat="0" applyBorder="0" applyAlignment="0" applyProtection="0"/>
    <xf numFmtId="0" fontId="87" fillId="15" borderId="0" applyNumberFormat="0" applyBorder="0" applyAlignment="0" applyProtection="0"/>
    <xf numFmtId="0" fontId="3" fillId="16" borderId="0" applyNumberFormat="0" applyBorder="0" applyAlignment="0" applyProtection="0"/>
    <xf numFmtId="0" fontId="105" fillId="48" borderId="0" applyNumberFormat="0" applyBorder="0" applyAlignment="0" applyProtection="0"/>
    <xf numFmtId="0" fontId="87" fillId="16" borderId="0" applyNumberFormat="0" applyBorder="0" applyAlignment="0" applyProtection="0"/>
    <xf numFmtId="0" fontId="3" fillId="17" borderId="0" applyNumberFormat="0" applyBorder="0" applyAlignment="0" applyProtection="0"/>
    <xf numFmtId="0" fontId="105" fillId="49" borderId="0" applyNumberFormat="0" applyBorder="0" applyAlignment="0" applyProtection="0"/>
    <xf numFmtId="0" fontId="87" fillId="17" borderId="0" applyNumberFormat="0" applyBorder="0" applyAlignment="0" applyProtection="0"/>
    <xf numFmtId="0" fontId="3" fillId="18" borderId="0" applyNumberFormat="0" applyBorder="0" applyAlignment="0" applyProtection="0"/>
    <xf numFmtId="0" fontId="105" fillId="50" borderId="0" applyNumberFormat="0" applyBorder="0" applyAlignment="0" applyProtection="0"/>
    <xf numFmtId="0" fontId="87" fillId="18" borderId="0" applyNumberFormat="0" applyBorder="0" applyAlignment="0" applyProtection="0"/>
    <xf numFmtId="0" fontId="3" fillId="13" borderId="0" applyNumberFormat="0" applyBorder="0" applyAlignment="0" applyProtection="0"/>
    <xf numFmtId="0" fontId="105" fillId="51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52" borderId="0" applyNumberFormat="0" applyBorder="0" applyAlignment="0" applyProtection="0"/>
    <xf numFmtId="0" fontId="87" fillId="14" borderId="0" applyNumberFormat="0" applyBorder="0" applyAlignment="0" applyProtection="0"/>
    <xf numFmtId="0" fontId="3" fillId="19" borderId="0" applyNumberFormat="0" applyBorder="0" applyAlignment="0" applyProtection="0"/>
    <xf numFmtId="0" fontId="105" fillId="53" borderId="0" applyNumberFormat="0" applyBorder="0" applyAlignment="0" applyProtection="0"/>
    <xf numFmtId="0" fontId="87" fillId="19" borderId="0" applyNumberFormat="0" applyBorder="0" applyAlignment="0" applyProtection="0"/>
    <xf numFmtId="0" fontId="4" fillId="3" borderId="0" applyNumberFormat="0" applyBorder="0" applyAlignment="0" applyProtection="0"/>
    <xf numFmtId="0" fontId="106" fillId="54" borderId="0" applyNumberFormat="0" applyBorder="0" applyAlignment="0" applyProtection="0"/>
    <xf numFmtId="0" fontId="88" fillId="3" borderId="0" applyNumberFormat="0" applyBorder="0" applyAlignment="0" applyProtection="0"/>
    <xf numFmtId="169" fontId="5" fillId="0" borderId="0" applyFill="0"/>
    <xf numFmtId="169" fontId="5" fillId="0" borderId="0">
      <alignment horizontal="center"/>
    </xf>
    <xf numFmtId="0" fontId="5" fillId="0" borderId="0" applyFill="0">
      <alignment horizontal="center"/>
    </xf>
    <xf numFmtId="169" fontId="6" fillId="0" borderId="1" applyFill="0"/>
    <xf numFmtId="0" fontId="7" fillId="0" borderId="0" applyFont="0" applyAlignment="0"/>
    <xf numFmtId="0" fontId="7" fillId="0" borderId="0" applyFont="0" applyAlignment="0"/>
    <xf numFmtId="0" fontId="8" fillId="0" borderId="0" applyFill="0">
      <alignment vertical="top"/>
    </xf>
    <xf numFmtId="0" fontId="6" fillId="0" borderId="0" applyFill="0">
      <alignment horizontal="left" vertical="top"/>
    </xf>
    <xf numFmtId="169" fontId="9" fillId="0" borderId="2" applyFill="0"/>
    <xf numFmtId="0" fontId="7" fillId="0" borderId="0" applyNumberFormat="0" applyFont="0" applyAlignment="0"/>
    <xf numFmtId="0" fontId="7" fillId="0" borderId="0" applyNumberFormat="0" applyFont="0" applyAlignment="0"/>
    <xf numFmtId="0" fontId="8" fillId="0" borderId="0" applyFill="0">
      <alignment wrapText="1"/>
    </xf>
    <xf numFmtId="0" fontId="6" fillId="0" borderId="0" applyFill="0">
      <alignment horizontal="left" vertical="top" wrapText="1"/>
    </xf>
    <xf numFmtId="169" fontId="10" fillId="0" borderId="0" applyFill="0"/>
    <xf numFmtId="0" fontId="11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9" fillId="0" borderId="0" applyFill="0">
      <alignment horizontal="left" vertical="top" wrapText="1"/>
    </xf>
    <xf numFmtId="169" fontId="7" fillId="0" borderId="0" applyFill="0"/>
    <xf numFmtId="169" fontId="7" fillId="0" borderId="0" applyFill="0"/>
    <xf numFmtId="0" fontId="11" fillId="0" borderId="0" applyNumberFormat="0" applyFont="0" applyAlignment="0">
      <alignment horizontal="center"/>
    </xf>
    <xf numFmtId="0" fontId="13" fillId="0" borderId="0" applyFill="0">
      <alignment vertical="center" wrapText="1"/>
    </xf>
    <xf numFmtId="0" fontId="14" fillId="0" borderId="0">
      <alignment horizontal="left" vertical="center" wrapText="1"/>
    </xf>
    <xf numFmtId="169" fontId="15" fillId="0" borderId="0" applyFill="0"/>
    <xf numFmtId="0" fontId="11" fillId="0" borderId="0" applyNumberFormat="0" applyFont="0" applyAlignment="0">
      <alignment horizontal="center"/>
    </xf>
    <xf numFmtId="0" fontId="16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9" fontId="17" fillId="0" borderId="0" applyFill="0"/>
    <xf numFmtId="0" fontId="11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69" fontId="20" fillId="0" borderId="0" applyFill="0"/>
    <xf numFmtId="0" fontId="11" fillId="0" borderId="0" applyNumberFormat="0" applyFont="0" applyAlignment="0">
      <alignment horizontal="center"/>
    </xf>
    <xf numFmtId="0" fontId="21" fillId="0" borderId="0">
      <alignment horizontal="center" wrapText="1"/>
    </xf>
    <xf numFmtId="0" fontId="17" fillId="0" borderId="0" applyFill="0">
      <alignment horizontal="center" wrapText="1"/>
    </xf>
    <xf numFmtId="0" fontId="22" fillId="20" borderId="3" applyNumberFormat="0" applyAlignment="0" applyProtection="0"/>
    <xf numFmtId="0" fontId="107" fillId="55" borderId="48" applyNumberFormat="0" applyAlignment="0" applyProtection="0"/>
    <xf numFmtId="0" fontId="89" fillId="20" borderId="3" applyNumberFormat="0" applyAlignment="0" applyProtection="0"/>
    <xf numFmtId="0" fontId="23" fillId="21" borderId="4" applyNumberFormat="0" applyAlignment="0" applyProtection="0"/>
    <xf numFmtId="0" fontId="108" fillId="56" borderId="49" applyNumberFormat="0" applyAlignment="0" applyProtection="0"/>
    <xf numFmtId="0" fontId="90" fillId="21" borderId="4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0" fontId="25" fillId="4" borderId="0" applyNumberFormat="0" applyBorder="0" applyAlignment="0" applyProtection="0"/>
    <xf numFmtId="0" fontId="110" fillId="57" borderId="0" applyNumberFormat="0" applyBorder="0" applyAlignment="0" applyProtection="0"/>
    <xf numFmtId="0" fontId="92" fillId="4" borderId="0" applyNumberFormat="0" applyBorder="0" applyAlignment="0" applyProtection="0"/>
    <xf numFmtId="0" fontId="26" fillId="0" borderId="0" applyFont="0" applyFill="0" applyBorder="0" applyAlignment="0" applyProtection="0"/>
    <xf numFmtId="0" fontId="111" fillId="0" borderId="50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12" fillId="0" borderId="51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113" fillId="0" borderId="52" applyNumberFormat="0" applyFill="0" applyAlignment="0" applyProtection="0"/>
    <xf numFmtId="0" fontId="9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8" fillId="0" borderId="6"/>
    <xf numFmtId="0" fontId="29" fillId="0" borderId="0"/>
    <xf numFmtId="0" fontId="30" fillId="7" borderId="3" applyNumberFormat="0" applyAlignment="0" applyProtection="0"/>
    <xf numFmtId="0" fontId="114" fillId="58" borderId="48" applyNumberFormat="0" applyAlignment="0" applyProtection="0"/>
    <xf numFmtId="0" fontId="94" fillId="7" borderId="3" applyNumberFormat="0" applyAlignment="0" applyProtection="0"/>
    <xf numFmtId="0" fontId="31" fillId="0" borderId="7" applyNumberFormat="0" applyFill="0" applyAlignment="0" applyProtection="0"/>
    <xf numFmtId="0" fontId="115" fillId="0" borderId="53" applyNumberFormat="0" applyFill="0" applyAlignment="0" applyProtection="0"/>
    <xf numFmtId="0" fontId="95" fillId="0" borderId="7" applyNumberFormat="0" applyFill="0" applyAlignment="0" applyProtection="0"/>
    <xf numFmtId="179" fontId="80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0" fontId="32" fillId="22" borderId="0" applyNumberFormat="0" applyBorder="0" applyAlignment="0" applyProtection="0"/>
    <xf numFmtId="0" fontId="116" fillId="59" borderId="0" applyNumberFormat="0" applyBorder="0" applyAlignment="0" applyProtection="0"/>
    <xf numFmtId="0" fontId="96" fillId="22" borderId="0" applyNumberFormat="0" applyBorder="0" applyAlignment="0" applyProtection="0"/>
    <xf numFmtId="0" fontId="104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3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103" fillId="0" borderId="0"/>
    <xf numFmtId="0" fontId="103" fillId="0" borderId="0"/>
    <xf numFmtId="0" fontId="103" fillId="0" borderId="0"/>
    <xf numFmtId="0" fontId="7" fillId="0" borderId="0"/>
    <xf numFmtId="3" fontId="7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104" fillId="0" borderId="0"/>
    <xf numFmtId="0" fontId="35" fillId="0" borderId="0"/>
    <xf numFmtId="0" fontId="104" fillId="0" borderId="0"/>
    <xf numFmtId="0" fontId="7" fillId="0" borderId="0"/>
    <xf numFmtId="0" fontId="7" fillId="0" borderId="0"/>
    <xf numFmtId="0" fontId="104" fillId="0" borderId="0"/>
    <xf numFmtId="0" fontId="35" fillId="0" borderId="0"/>
    <xf numFmtId="0" fontId="104" fillId="0" borderId="0"/>
    <xf numFmtId="0" fontId="35" fillId="0" borderId="0"/>
    <xf numFmtId="169" fontId="33" fillId="0" borderId="0" applyProtection="0"/>
    <xf numFmtId="0" fontId="33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34" fillId="20" borderId="9" applyNumberFormat="0" applyAlignment="0" applyProtection="0"/>
    <xf numFmtId="0" fontId="117" fillId="55" borderId="55" applyNumberFormat="0" applyAlignment="0" applyProtection="0"/>
    <xf numFmtId="0" fontId="97" fillId="20" borderId="9" applyNumberFormat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7" fillId="0" borderId="0">
      <alignment horizontal="left" vertical="top"/>
    </xf>
    <xf numFmtId="3" fontId="7" fillId="0" borderId="0">
      <alignment horizontal="left" vertical="top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3" fontId="7" fillId="0" borderId="0">
      <alignment horizontal="right" vertical="top"/>
    </xf>
    <xf numFmtId="3" fontId="7" fillId="0" borderId="0">
      <alignment horizontal="right" vertical="top"/>
    </xf>
    <xf numFmtId="41" fontId="14" fillId="25" borderId="10" applyFill="0"/>
    <xf numFmtId="0" fontId="37" fillId="0" borderId="0">
      <alignment horizontal="left" indent="7"/>
    </xf>
    <xf numFmtId="41" fontId="14" fillId="0" borderId="10" applyFill="0">
      <alignment horizontal="left" indent="2"/>
    </xf>
    <xf numFmtId="169" fontId="38" fillId="0" borderId="11" applyFill="0">
      <alignment horizontal="right"/>
    </xf>
    <xf numFmtId="0" fontId="39" fillId="0" borderId="12" applyNumberFormat="0" applyFont="0" applyBorder="0">
      <alignment horizontal="right"/>
    </xf>
    <xf numFmtId="0" fontId="40" fillId="0" borderId="0" applyFill="0"/>
    <xf numFmtId="0" fontId="9" fillId="0" borderId="0" applyFill="0"/>
    <xf numFmtId="4" fontId="38" fillId="0" borderId="11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2" fillId="0" borderId="0" applyFill="0">
      <alignment horizontal="left" indent="1"/>
    </xf>
    <xf numFmtId="0" fontId="41" fillId="0" borderId="0" applyFill="0">
      <alignment horizontal="left" indent="1"/>
    </xf>
    <xf numFmtId="4" fontId="15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12" fillId="0" borderId="0" applyFill="0">
      <alignment horizontal="left" indent="2"/>
    </xf>
    <xf numFmtId="0" fontId="9" fillId="0" borderId="0" applyFill="0">
      <alignment horizontal="left" indent="2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2" fillId="0" borderId="0">
      <alignment horizontal="left" indent="3"/>
    </xf>
    <xf numFmtId="0" fontId="43" fillId="0" borderId="0" applyFill="0">
      <alignment horizontal="left" indent="3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6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17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8" fillId="0" borderId="0">
      <alignment horizontal="left" indent="5"/>
    </xf>
    <xf numFmtId="0" fontId="19" fillId="0" borderId="0" applyFill="0">
      <alignment horizontal="left" indent="5"/>
    </xf>
    <xf numFmtId="4" fontId="20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21" fillId="0" borderId="0" applyFill="0">
      <alignment horizontal="left" indent="6"/>
    </xf>
    <xf numFmtId="0" fontId="17" fillId="0" borderId="0" applyFill="0">
      <alignment horizontal="left" indent="6"/>
    </xf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119" fillId="0" borderId="56" applyNumberForma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65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170" fontId="7" fillId="0" borderId="0" xfId="117" applyNumberFormat="1" applyFont="1"/>
    <xf numFmtId="0" fontId="7" fillId="0" borderId="0" xfId="0" applyFont="1" applyBorder="1"/>
    <xf numFmtId="0" fontId="47" fillId="0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Fill="1" applyBorder="1"/>
    <xf numFmtId="10" fontId="7" fillId="0" borderId="0" xfId="0" applyNumberFormat="1" applyFont="1" applyBorder="1"/>
    <xf numFmtId="0" fontId="7" fillId="0" borderId="0" xfId="0" applyFont="1" applyFill="1" applyBorder="1" applyAlignment="1"/>
    <xf numFmtId="0" fontId="14" fillId="0" borderId="0" xfId="549" applyNumberFormat="1" applyFont="1" applyFill="1" applyBorder="1" applyAlignment="1" applyProtection="1">
      <protection locked="0"/>
    </xf>
    <xf numFmtId="0" fontId="6" fillId="0" borderId="0" xfId="0" applyFont="1" applyFill="1"/>
    <xf numFmtId="10" fontId="7" fillId="0" borderId="0" xfId="0" applyNumberFormat="1" applyFont="1"/>
    <xf numFmtId="0" fontId="7" fillId="0" borderId="0" xfId="0" applyFont="1" applyFill="1" applyBorder="1" applyAlignment="1">
      <alignment wrapText="1"/>
    </xf>
    <xf numFmtId="0" fontId="0" fillId="0" borderId="0" xfId="0" applyFill="1"/>
    <xf numFmtId="170" fontId="7" fillId="0" borderId="0" xfId="0" applyNumberFormat="1" applyFont="1"/>
    <xf numFmtId="0" fontId="46" fillId="0" borderId="0" xfId="0" applyFont="1" applyAlignment="1">
      <alignment horizontal="right"/>
    </xf>
    <xf numFmtId="170" fontId="7" fillId="0" borderId="0" xfId="117" applyNumberFormat="1" applyFont="1" applyBorder="1"/>
    <xf numFmtId="0" fontId="39" fillId="0" borderId="0" xfId="0" applyFont="1" applyAlignment="1">
      <alignment horizontal="left"/>
    </xf>
    <xf numFmtId="0" fontId="51" fillId="27" borderId="0" xfId="117" applyNumberFormat="1" applyFont="1" applyFill="1" applyAlignment="1">
      <alignment horizontal="left"/>
    </xf>
    <xf numFmtId="0" fontId="39" fillId="0" borderId="17" xfId="0" applyFont="1" applyBorder="1"/>
    <xf numFmtId="0" fontId="39" fillId="0" borderId="18" xfId="0" applyFont="1" applyBorder="1"/>
    <xf numFmtId="0" fontId="7" fillId="0" borderId="18" xfId="0" applyFont="1" applyBorder="1"/>
    <xf numFmtId="170" fontId="39" fillId="0" borderId="19" xfId="117" applyNumberFormat="1" applyFont="1" applyBorder="1"/>
    <xf numFmtId="0" fontId="14" fillId="0" borderId="0" xfId="117" applyNumberFormat="1" applyFont="1" applyFill="1" applyAlignment="1">
      <alignment horizontal="left"/>
    </xf>
    <xf numFmtId="0" fontId="14" fillId="0" borderId="0" xfId="117" applyNumberFormat="1" applyFont="1" applyFill="1" applyBorder="1" applyAlignment="1">
      <alignment horizontal="left"/>
    </xf>
    <xf numFmtId="0" fontId="39" fillId="0" borderId="13" xfId="0" applyFont="1" applyBorder="1"/>
    <xf numFmtId="0" fontId="9" fillId="0" borderId="0" xfId="117" applyNumberFormat="1" applyFont="1" applyFill="1" applyBorder="1" applyAlignment="1">
      <alignment horizontal="left"/>
    </xf>
    <xf numFmtId="170" fontId="39" fillId="0" borderId="20" xfId="117" applyNumberFormat="1" applyFont="1" applyBorder="1"/>
    <xf numFmtId="0" fontId="39" fillId="0" borderId="0" xfId="0" applyFont="1" applyFill="1"/>
    <xf numFmtId="170" fontId="39" fillId="0" borderId="15" xfId="117" applyNumberFormat="1" applyFont="1" applyBorder="1"/>
    <xf numFmtId="170" fontId="7" fillId="0" borderId="6" xfId="117" applyNumberFormat="1" applyFont="1" applyBorder="1"/>
    <xf numFmtId="170" fontId="7" fillId="0" borderId="16" xfId="117" applyNumberFormat="1" applyFont="1" applyBorder="1"/>
    <xf numFmtId="0" fontId="53" fillId="0" borderId="0" xfId="0" applyFont="1" applyFill="1" applyAlignment="1"/>
    <xf numFmtId="0" fontId="7" fillId="0" borderId="0" xfId="0" applyFont="1" applyFill="1" applyAlignment="1">
      <alignment wrapText="1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/>
    <xf numFmtId="170" fontId="54" fillId="27" borderId="14" xfId="117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7" fillId="0" borderId="13" xfId="0" applyFont="1" applyFill="1" applyBorder="1"/>
    <xf numFmtId="0" fontId="54" fillId="27" borderId="14" xfId="0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0" fontId="7" fillId="0" borderId="14" xfId="0" applyNumberFormat="1" applyFont="1" applyBorder="1"/>
    <xf numFmtId="10" fontId="7" fillId="0" borderId="0" xfId="0" applyNumberFormat="1" applyFont="1" applyFill="1" applyBorder="1"/>
    <xf numFmtId="170" fontId="7" fillId="0" borderId="14" xfId="117" applyNumberFormat="1" applyFont="1" applyBorder="1"/>
    <xf numFmtId="0" fontId="39" fillId="0" borderId="24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 wrapText="1"/>
    </xf>
    <xf numFmtId="0" fontId="39" fillId="0" borderId="26" xfId="0" applyFont="1" applyBorder="1" applyAlignment="1">
      <alignment horizontal="center"/>
    </xf>
    <xf numFmtId="170" fontId="39" fillId="0" borderId="16" xfId="117" applyNumberFormat="1" applyFont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170" fontId="39" fillId="0" borderId="26" xfId="117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170" fontId="7" fillId="0" borderId="0" xfId="0" applyNumberFormat="1" applyFont="1" applyBorder="1"/>
    <xf numFmtId="170" fontId="7" fillId="0" borderId="24" xfId="117" applyNumberFormat="1" applyFont="1" applyBorder="1"/>
    <xf numFmtId="171" fontId="7" fillId="0" borderId="14" xfId="0" applyNumberFormat="1" applyFont="1" applyBorder="1"/>
    <xf numFmtId="171" fontId="7" fillId="0" borderId="24" xfId="0" applyNumberFormat="1" applyFont="1" applyBorder="1"/>
    <xf numFmtId="171" fontId="7" fillId="0" borderId="25" xfId="0" applyNumberFormat="1" applyFont="1" applyBorder="1"/>
    <xf numFmtId="170" fontId="7" fillId="0" borderId="25" xfId="0" applyNumberFormat="1" applyFont="1" applyBorder="1"/>
    <xf numFmtId="170" fontId="1" fillId="0" borderId="25" xfId="117" applyNumberFormat="1" applyBorder="1"/>
    <xf numFmtId="170" fontId="7" fillId="0" borderId="25" xfId="117" applyNumberFormat="1" applyFont="1" applyBorder="1"/>
    <xf numFmtId="170" fontId="7" fillId="0" borderId="25" xfId="0" applyNumberFormat="1" applyFont="1" applyFill="1" applyBorder="1"/>
    <xf numFmtId="0" fontId="7" fillId="0" borderId="26" xfId="0" applyNumberFormat="1" applyFont="1" applyBorder="1" applyAlignment="1">
      <alignment horizontal="center"/>
    </xf>
    <xf numFmtId="170" fontId="7" fillId="0" borderId="26" xfId="0" applyNumberFormat="1" applyFont="1" applyBorder="1"/>
    <xf numFmtId="170" fontId="1" fillId="0" borderId="26" xfId="117" applyNumberFormat="1" applyBorder="1"/>
    <xf numFmtId="171" fontId="7" fillId="0" borderId="16" xfId="0" applyNumberFormat="1" applyFont="1" applyBorder="1"/>
    <xf numFmtId="171" fontId="7" fillId="0" borderId="26" xfId="0" applyNumberFormat="1" applyFont="1" applyBorder="1"/>
    <xf numFmtId="0" fontId="53" fillId="0" borderId="0" xfId="0" applyFont="1" applyFill="1"/>
    <xf numFmtId="171" fontId="7" fillId="0" borderId="0" xfId="0" applyNumberFormat="1" applyFont="1" applyBorder="1"/>
    <xf numFmtId="170" fontId="55" fillId="0" borderId="0" xfId="0" applyNumberFormat="1" applyFont="1" applyAlignment="1">
      <alignment horizontal="left"/>
    </xf>
    <xf numFmtId="0" fontId="9" fillId="0" borderId="0" xfId="0" applyFont="1" applyFill="1"/>
    <xf numFmtId="170" fontId="39" fillId="0" borderId="0" xfId="117" applyNumberFormat="1" applyFont="1" applyBorder="1"/>
    <xf numFmtId="170" fontId="7" fillId="0" borderId="14" xfId="0" applyNumberFormat="1" applyFont="1" applyBorder="1"/>
    <xf numFmtId="170" fontId="39" fillId="0" borderId="11" xfId="117" applyNumberFormat="1" applyFont="1" applyBorder="1"/>
    <xf numFmtId="170" fontId="7" fillId="0" borderId="20" xfId="0" applyNumberFormat="1" applyFont="1" applyBorder="1"/>
    <xf numFmtId="0" fontId="7" fillId="0" borderId="15" xfId="0" applyFont="1" applyBorder="1"/>
    <xf numFmtId="170" fontId="39" fillId="0" borderId="6" xfId="117" applyNumberFormat="1" applyFont="1" applyFill="1" applyBorder="1" applyAlignment="1">
      <alignment horizontal="left"/>
    </xf>
    <xf numFmtId="170" fontId="39" fillId="0" borderId="16" xfId="117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0" xfId="0" applyFill="1" applyBorder="1" applyAlignment="1"/>
    <xf numFmtId="0" fontId="7" fillId="0" borderId="6" xfId="0" applyFont="1" applyBorder="1" applyAlignment="1">
      <alignment horizontal="center"/>
    </xf>
    <xf numFmtId="0" fontId="0" fillId="0" borderId="6" xfId="0" applyBorder="1"/>
    <xf numFmtId="0" fontId="39" fillId="0" borderId="24" xfId="0" applyFont="1" applyBorder="1" applyAlignment="1">
      <alignment horizontal="center" wrapText="1"/>
    </xf>
    <xf numFmtId="170" fontId="39" fillId="0" borderId="0" xfId="117" applyNumberFormat="1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6" xfId="0" applyFont="1" applyBorder="1" applyAlignment="1">
      <alignment horizontal="center"/>
    </xf>
    <xf numFmtId="170" fontId="7" fillId="0" borderId="24" xfId="0" applyNumberFormat="1" applyFont="1" applyBorder="1"/>
    <xf numFmtId="170" fontId="7" fillId="0" borderId="6" xfId="0" applyNumberFormat="1" applyFont="1" applyBorder="1"/>
    <xf numFmtId="0" fontId="55" fillId="0" borderId="0" xfId="0" applyFont="1"/>
    <xf numFmtId="0" fontId="58" fillId="0" borderId="0" xfId="0" applyFont="1" applyFill="1"/>
    <xf numFmtId="170" fontId="7" fillId="0" borderId="14" xfId="117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52" fillId="27" borderId="0" xfId="0" applyFont="1" applyFill="1" applyAlignment="1">
      <alignment horizontal="left"/>
    </xf>
    <xf numFmtId="0" fontId="39" fillId="0" borderId="22" xfId="0" applyFont="1" applyFill="1" applyBorder="1" applyAlignment="1"/>
    <xf numFmtId="0" fontId="61" fillId="28" borderId="22" xfId="0" applyFont="1" applyFill="1" applyBorder="1" applyAlignment="1">
      <alignment horizontal="center"/>
    </xf>
    <xf numFmtId="0" fontId="39" fillId="0" borderId="0" xfId="0" quotePrefix="1" applyFont="1" applyAlignment="1">
      <alignment horizontal="left"/>
    </xf>
    <xf numFmtId="0" fontId="68" fillId="0" borderId="0" xfId="0" applyFont="1"/>
    <xf numFmtId="0" fontId="7" fillId="0" borderId="0" xfId="0" applyFont="1" applyAlignment="1">
      <alignment horizontal="left"/>
    </xf>
    <xf numFmtId="0" fontId="50" fillId="0" borderId="0" xfId="0" quotePrefix="1" applyFont="1" applyAlignment="1">
      <alignment horizontal="left"/>
    </xf>
    <xf numFmtId="0" fontId="46" fillId="0" borderId="0" xfId="0" quotePrefix="1" applyFont="1" applyAlignment="1">
      <alignment horizontal="center"/>
    </xf>
    <xf numFmtId="171" fontId="46" fillId="0" borderId="0" xfId="0" quotePrefix="1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5" fillId="0" borderId="0" xfId="0" applyFont="1" applyFill="1" applyAlignment="1"/>
    <xf numFmtId="0" fontId="55" fillId="0" borderId="0" xfId="0" quotePrefix="1" applyFont="1" applyAlignment="1">
      <alignment horizontal="left"/>
    </xf>
    <xf numFmtId="0" fontId="67" fillId="0" borderId="0" xfId="0" applyFont="1" applyFill="1" applyAlignment="1">
      <alignment horizontal="right"/>
    </xf>
    <xf numFmtId="0" fontId="46" fillId="0" borderId="0" xfId="0" quotePrefix="1" applyFont="1" applyAlignment="1">
      <alignment horizontal="right"/>
    </xf>
    <xf numFmtId="0" fontId="39" fillId="0" borderId="28" xfId="0" applyFont="1" applyFill="1" applyBorder="1" applyAlignment="1">
      <alignment horizontal="center"/>
    </xf>
    <xf numFmtId="169" fontId="7" fillId="0" borderId="29" xfId="549" applyFont="1" applyBorder="1" applyAlignment="1" applyProtection="1">
      <alignment horizontal="center"/>
      <protection locked="0"/>
    </xf>
    <xf numFmtId="169" fontId="7" fillId="0" borderId="29" xfId="549" quotePrefix="1" applyFont="1" applyBorder="1" applyAlignment="1" applyProtection="1">
      <alignment horizontal="center"/>
      <protection locked="0"/>
    </xf>
    <xf numFmtId="3" fontId="7" fillId="0" borderId="30" xfId="549" applyNumberFormat="1" applyFont="1" applyBorder="1" applyAlignment="1" applyProtection="1">
      <alignment horizontal="center"/>
      <protection locked="0"/>
    </xf>
    <xf numFmtId="0" fontId="55" fillId="0" borderId="24" xfId="0" applyFont="1" applyBorder="1"/>
    <xf numFmtId="170" fontId="7" fillId="0" borderId="13" xfId="117" quotePrefix="1" applyNumberFormat="1" applyFont="1" applyBorder="1" applyAlignment="1">
      <alignment horizontal="right"/>
    </xf>
    <xf numFmtId="0" fontId="57" fillId="0" borderId="31" xfId="117" applyNumberFormat="1" applyFont="1" applyFill="1" applyBorder="1" applyAlignment="1">
      <alignment horizontal="left"/>
    </xf>
    <xf numFmtId="170" fontId="7" fillId="0" borderId="32" xfId="117" quotePrefix="1" applyNumberFormat="1" applyFont="1" applyBorder="1" applyAlignment="1">
      <alignment horizontal="right"/>
    </xf>
    <xf numFmtId="170" fontId="55" fillId="0" borderId="26" xfId="117" applyNumberFormat="1" applyFont="1" applyBorder="1"/>
    <xf numFmtId="0" fontId="7" fillId="0" borderId="15" xfId="0" quotePrefix="1" applyFont="1" applyBorder="1" applyAlignment="1">
      <alignment horizontal="right"/>
    </xf>
    <xf numFmtId="170" fontId="39" fillId="27" borderId="26" xfId="117" applyNumberFormat="1" applyFont="1" applyFill="1" applyBorder="1" applyAlignment="1">
      <alignment horizontal="center"/>
    </xf>
    <xf numFmtId="170" fontId="39" fillId="27" borderId="16" xfId="117" applyNumberFormat="1" applyFont="1" applyFill="1" applyBorder="1" applyAlignment="1">
      <alignment horizontal="center"/>
    </xf>
    <xf numFmtId="170" fontId="54" fillId="0" borderId="25" xfId="117" applyNumberFormat="1" applyFont="1" applyFill="1" applyBorder="1"/>
    <xf numFmtId="171" fontId="54" fillId="27" borderId="24" xfId="0" applyNumberFormat="1" applyFont="1" applyFill="1" applyBorder="1"/>
    <xf numFmtId="171" fontId="54" fillId="27" borderId="25" xfId="0" applyNumberFormat="1" applyFont="1" applyFill="1" applyBorder="1"/>
    <xf numFmtId="171" fontId="54" fillId="27" borderId="26" xfId="0" applyNumberFormat="1" applyFont="1" applyFill="1" applyBorder="1"/>
    <xf numFmtId="171" fontId="54" fillId="0" borderId="24" xfId="0" applyNumberFormat="1" applyFont="1" applyFill="1" applyBorder="1"/>
    <xf numFmtId="170" fontId="39" fillId="0" borderId="24" xfId="117" quotePrefix="1" applyNumberFormat="1" applyFont="1" applyBorder="1" applyAlignment="1">
      <alignment horizontal="center" wrapText="1"/>
    </xf>
    <xf numFmtId="170" fontId="39" fillId="0" borderId="24" xfId="117" applyNumberFormat="1" applyFont="1" applyFill="1" applyBorder="1" applyAlignment="1">
      <alignment horizontal="center" wrapText="1"/>
    </xf>
    <xf numFmtId="170" fontId="39" fillId="0" borderId="26" xfId="117" applyNumberFormat="1" applyFont="1" applyFill="1" applyBorder="1" applyAlignment="1">
      <alignment horizontal="center"/>
    </xf>
    <xf numFmtId="170" fontId="39" fillId="0" borderId="15" xfId="117" applyNumberFormat="1" applyFont="1" applyFill="1" applyBorder="1" applyAlignment="1">
      <alignment horizontal="center"/>
    </xf>
    <xf numFmtId="170" fontId="54" fillId="0" borderId="14" xfId="117" applyNumberFormat="1" applyFont="1" applyFill="1" applyBorder="1"/>
    <xf numFmtId="170" fontId="54" fillId="0" borderId="26" xfId="117" applyNumberFormat="1" applyFont="1" applyFill="1" applyBorder="1"/>
    <xf numFmtId="170" fontId="54" fillId="0" borderId="16" xfId="117" applyNumberFormat="1" applyFont="1" applyFill="1" applyBorder="1"/>
    <xf numFmtId="170" fontId="39" fillId="27" borderId="19" xfId="117" quotePrefix="1" applyNumberFormat="1" applyFont="1" applyFill="1" applyBorder="1" applyAlignment="1">
      <alignment horizontal="center" wrapText="1"/>
    </xf>
    <xf numFmtId="170" fontId="39" fillId="0" borderId="19" xfId="117" quotePrefix="1" applyNumberFormat="1" applyFont="1" applyBorder="1" applyAlignment="1">
      <alignment horizontal="center" wrapText="1"/>
    </xf>
    <xf numFmtId="170" fontId="39" fillId="27" borderId="24" xfId="117" quotePrefix="1" applyNumberFormat="1" applyFont="1" applyFill="1" applyBorder="1" applyAlignment="1">
      <alignment horizontal="center" wrapText="1"/>
    </xf>
    <xf numFmtId="0" fontId="7" fillId="0" borderId="13" xfId="0" quotePrefix="1" applyFont="1" applyFill="1" applyBorder="1" applyAlignment="1">
      <alignment horizontal="left"/>
    </xf>
    <xf numFmtId="170" fontId="7" fillId="0" borderId="26" xfId="117" applyNumberFormat="1" applyFont="1" applyBorder="1"/>
    <xf numFmtId="170" fontId="7" fillId="0" borderId="26" xfId="0" applyNumberFormat="1" applyFont="1" applyFill="1" applyBorder="1"/>
    <xf numFmtId="0" fontId="0" fillId="0" borderId="0" xfId="0" applyProtection="1"/>
    <xf numFmtId="0" fontId="14" fillId="0" borderId="0" xfId="0" applyNumberFormat="1" applyFont="1" applyAlignment="1" applyProtection="1">
      <alignment horizontal="center"/>
    </xf>
    <xf numFmtId="3" fontId="14" fillId="0" borderId="0" xfId="0" quotePrefix="1" applyNumberFormat="1" applyFont="1" applyFill="1" applyAlignment="1" applyProtection="1">
      <alignment horizontal="center"/>
    </xf>
    <xf numFmtId="0" fontId="14" fillId="0" borderId="0" xfId="0" applyNumberFormat="1" applyFont="1" applyFill="1" applyAlignment="1" applyProtection="1">
      <alignment horizontal="center"/>
    </xf>
    <xf numFmtId="169" fontId="14" fillId="0" borderId="0" xfId="549" applyFont="1" applyFill="1" applyAlignment="1" applyProtection="1"/>
    <xf numFmtId="49" fontId="71" fillId="0" borderId="0" xfId="549" applyNumberFormat="1" applyFont="1" applyFill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39" fillId="0" borderId="11" xfId="0" applyFont="1" applyBorder="1" applyAlignment="1" applyProtection="1">
      <alignment horizontal="centerContinuous"/>
    </xf>
    <xf numFmtId="0" fontId="39" fillId="0" borderId="11" xfId="0" applyFont="1" applyBorder="1" applyAlignment="1" applyProtection="1">
      <alignment horizontal="left"/>
    </xf>
    <xf numFmtId="0" fontId="53" fillId="0" borderId="0" xfId="0" quotePrefix="1" applyFont="1" applyAlignment="1" applyProtection="1">
      <alignment horizontal="left"/>
    </xf>
    <xf numFmtId="0" fontId="39" fillId="0" borderId="0" xfId="0" applyFont="1" applyBorder="1" applyAlignment="1" applyProtection="1">
      <alignment horizontal="center"/>
    </xf>
    <xf numFmtId="0" fontId="65" fillId="0" borderId="11" xfId="0" quotePrefix="1" applyFont="1" applyBorder="1" applyAlignment="1" applyProtection="1">
      <alignment horizontal="centerContinuous"/>
    </xf>
    <xf numFmtId="0" fontId="65" fillId="0" borderId="0" xfId="0" quotePrefix="1" applyFont="1" applyBorder="1" applyAlignment="1" applyProtection="1">
      <alignment horizontal="centerContinuous"/>
    </xf>
    <xf numFmtId="0" fontId="65" fillId="0" borderId="11" xfId="0" applyFont="1" applyBorder="1" applyAlignment="1" applyProtection="1">
      <alignment horizontal="centerContinuous"/>
    </xf>
    <xf numFmtId="0" fontId="72" fillId="0" borderId="0" xfId="0" applyFont="1" applyFill="1" applyProtection="1"/>
    <xf numFmtId="0" fontId="65" fillId="0" borderId="0" xfId="0" applyFont="1" applyAlignment="1" applyProtection="1">
      <alignment horizontal="center" wrapText="1"/>
    </xf>
    <xf numFmtId="0" fontId="65" fillId="0" borderId="0" xfId="0" applyFont="1" applyAlignment="1" applyProtection="1">
      <alignment horizontal="center"/>
    </xf>
    <xf numFmtId="0" fontId="65" fillId="0" borderId="0" xfId="0" applyFont="1" applyBorder="1" applyAlignment="1" applyProtection="1">
      <alignment horizontal="center" wrapText="1"/>
    </xf>
    <xf numFmtId="0" fontId="65" fillId="0" borderId="0" xfId="0" quotePrefix="1" applyFont="1" applyBorder="1" applyAlignment="1" applyProtection="1">
      <alignment horizontal="center" wrapText="1"/>
    </xf>
    <xf numFmtId="0" fontId="65" fillId="0" borderId="0" xfId="0" applyFont="1" applyBorder="1" applyAlignment="1" applyProtection="1">
      <alignment horizontal="center"/>
    </xf>
    <xf numFmtId="0" fontId="65" fillId="0" borderId="0" xfId="0" quotePrefix="1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/>
    </xf>
    <xf numFmtId="0" fontId="0" fillId="0" borderId="38" xfId="0" applyBorder="1" applyAlignment="1" applyProtection="1">
      <alignment wrapText="1"/>
    </xf>
    <xf numFmtId="0" fontId="39" fillId="0" borderId="0" xfId="0" applyFont="1" applyProtection="1"/>
    <xf numFmtId="0" fontId="0" fillId="0" borderId="25" xfId="0" applyBorder="1" applyProtection="1"/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/>
    </xf>
    <xf numFmtId="170" fontId="1" fillId="0" borderId="0" xfId="117" applyNumberFormat="1" applyFont="1" applyFill="1" applyAlignment="1" applyProtection="1">
      <alignment vertical="center"/>
    </xf>
    <xf numFmtId="170" fontId="1" fillId="0" borderId="0" xfId="117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70" fontId="7" fillId="0" borderId="0" xfId="121" applyNumberFormat="1" applyFont="1" applyFill="1" applyAlignment="1" applyProtection="1">
      <alignment vertical="center"/>
    </xf>
    <xf numFmtId="170" fontId="64" fillId="27" borderId="0" xfId="117" applyNumberFormat="1" applyFont="1" applyFill="1" applyAlignment="1" applyProtection="1">
      <alignment vertical="center"/>
    </xf>
    <xf numFmtId="170" fontId="1" fillId="0" borderId="0" xfId="117" applyNumberFormat="1" applyAlignment="1" applyProtection="1">
      <alignment vertical="center"/>
    </xf>
    <xf numFmtId="170" fontId="39" fillId="0" borderId="0" xfId="117" applyNumberFormat="1" applyFont="1" applyAlignment="1" applyProtection="1">
      <alignment horizontal="center" vertical="center"/>
    </xf>
    <xf numFmtId="170" fontId="0" fillId="0" borderId="25" xfId="0" applyNumberFormat="1" applyBorder="1" applyAlignment="1" applyProtection="1">
      <alignment vertical="center"/>
    </xf>
    <xf numFmtId="170" fontId="39" fillId="0" borderId="0" xfId="117" applyNumberFormat="1" applyFont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170" fontId="1" fillId="0" borderId="0" xfId="117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7" fillId="0" borderId="0" xfId="0" quotePrefix="1" applyFont="1" applyAlignment="1" applyProtection="1">
      <alignment horizontal="center" vertical="center"/>
    </xf>
    <xf numFmtId="0" fontId="0" fillId="0" borderId="0" xfId="0" applyBorder="1" applyProtection="1"/>
    <xf numFmtId="170" fontId="1" fillId="0" borderId="0" xfId="117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70" fontId="64" fillId="27" borderId="0" xfId="117" applyNumberFormat="1" applyFont="1" applyFill="1" applyBorder="1" applyAlignment="1" applyProtection="1">
      <alignment vertical="center"/>
    </xf>
    <xf numFmtId="170" fontId="1" fillId="0" borderId="0" xfId="117" applyNumberFormat="1" applyFont="1" applyFill="1" applyBorder="1" applyAlignment="1" applyProtection="1">
      <alignment vertical="center"/>
    </xf>
    <xf numFmtId="170" fontId="1" fillId="0" borderId="0" xfId="117" applyNumberFormat="1" applyBorder="1" applyAlignment="1" applyProtection="1">
      <alignment vertical="center"/>
    </xf>
    <xf numFmtId="170" fontId="39" fillId="0" borderId="0" xfId="117" applyNumberFormat="1" applyFont="1" applyBorder="1" applyAlignment="1" applyProtection="1">
      <alignment vertical="center"/>
    </xf>
    <xf numFmtId="170" fontId="1" fillId="0" borderId="0" xfId="117" applyNumberFormat="1" applyFont="1" applyBorder="1" applyAlignme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64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43" fontId="73" fillId="0" borderId="0" xfId="117" applyNumberFormat="1" applyFont="1" applyAlignment="1" applyProtection="1">
      <alignment horizontal="center" vertical="center"/>
    </xf>
    <xf numFmtId="43" fontId="53" fillId="0" borderId="0" xfId="117" applyFont="1" applyAlignment="1" applyProtection="1">
      <alignment horizontal="center" vertical="center"/>
    </xf>
    <xf numFmtId="43" fontId="75" fillId="0" borderId="0" xfId="117" applyFont="1" applyAlignment="1" applyProtection="1">
      <alignment horizontal="left" vertical="center"/>
    </xf>
    <xf numFmtId="170" fontId="75" fillId="0" borderId="0" xfId="117" applyNumberFormat="1" applyFont="1" applyAlignment="1" applyProtection="1">
      <alignment horizontal="center" vertical="center"/>
    </xf>
    <xf numFmtId="43" fontId="76" fillId="0" borderId="0" xfId="117" applyFont="1" applyAlignment="1" applyProtection="1">
      <alignment vertical="center"/>
    </xf>
    <xf numFmtId="43" fontId="1" fillId="0" borderId="0" xfId="117" applyAlignment="1" applyProtection="1">
      <alignment vertical="center"/>
    </xf>
    <xf numFmtId="170" fontId="0" fillId="0" borderId="26" xfId="0" applyNumberFormat="1" applyBorder="1" applyProtection="1"/>
    <xf numFmtId="0" fontId="0" fillId="0" borderId="0" xfId="0" quotePrefix="1" applyAlignment="1" applyProtection="1">
      <alignment horizontal="left" vertical="center"/>
    </xf>
    <xf numFmtId="13" fontId="5" fillId="0" borderId="0" xfId="0" applyNumberFormat="1" applyFont="1" applyAlignment="1" applyProtection="1">
      <alignment horizontal="center" vertical="center"/>
    </xf>
    <xf numFmtId="170" fontId="0" fillId="0" borderId="0" xfId="117" applyNumberFormat="1" applyFont="1" applyProtection="1"/>
    <xf numFmtId="170" fontId="64" fillId="27" borderId="0" xfId="0" applyNumberFormat="1" applyFont="1" applyFill="1" applyAlignment="1" applyProtection="1">
      <alignment vertical="center"/>
    </xf>
    <xf numFmtId="170" fontId="1" fillId="0" borderId="0" xfId="117" applyNumberFormat="1" applyProtection="1"/>
    <xf numFmtId="164" fontId="1" fillId="0" borderId="0" xfId="0" applyNumberFormat="1" applyFont="1" applyFill="1" applyProtection="1"/>
    <xf numFmtId="43" fontId="1" fillId="0" borderId="0" xfId="117" applyProtection="1"/>
    <xf numFmtId="177" fontId="1" fillId="0" borderId="0" xfId="117" applyNumberFormat="1" applyProtection="1"/>
    <xf numFmtId="0" fontId="0" fillId="0" borderId="33" xfId="0" applyBorder="1" applyProtection="1"/>
    <xf numFmtId="0" fontId="0" fillId="0" borderId="2" xfId="0" applyBorder="1" applyProtection="1"/>
    <xf numFmtId="170" fontId="1" fillId="0" borderId="2" xfId="117" applyNumberFormat="1" applyBorder="1" applyProtection="1"/>
    <xf numFmtId="0" fontId="0" fillId="0" borderId="27" xfId="0" applyBorder="1" applyProtection="1"/>
    <xf numFmtId="0" fontId="0" fillId="0" borderId="34" xfId="0" applyBorder="1" applyProtection="1"/>
    <xf numFmtId="0" fontId="0" fillId="0" borderId="0" xfId="0" applyBorder="1" applyAlignment="1" applyProtection="1">
      <alignment horizontal="center"/>
    </xf>
    <xf numFmtId="49" fontId="71" fillId="0" borderId="0" xfId="549" applyNumberFormat="1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Protection="1"/>
    <xf numFmtId="0" fontId="0" fillId="0" borderId="11" xfId="0" applyBorder="1" applyProtection="1"/>
    <xf numFmtId="170" fontId="1" fillId="0" borderId="11" xfId="117" applyNumberFormat="1" applyBorder="1" applyProtection="1"/>
    <xf numFmtId="0" fontId="0" fillId="0" borderId="37" xfId="0" applyBorder="1" applyProtection="1"/>
    <xf numFmtId="0" fontId="7" fillId="0" borderId="0" xfId="0" applyFont="1" applyProtection="1"/>
    <xf numFmtId="0" fontId="0" fillId="0" borderId="0" xfId="0" quotePrefix="1" applyAlignment="1" applyProtection="1">
      <alignment horizontal="left"/>
    </xf>
    <xf numFmtId="171" fontId="0" fillId="0" borderId="0" xfId="327" applyNumberFormat="1" applyFont="1" applyProtection="1"/>
    <xf numFmtId="0" fontId="0" fillId="0" borderId="0" xfId="0" quotePrefix="1" applyAlignment="1" applyProtection="1">
      <alignment horizontal="center"/>
    </xf>
    <xf numFmtId="170" fontId="0" fillId="0" borderId="0" xfId="0" applyNumberFormat="1" applyProtection="1"/>
    <xf numFmtId="170" fontId="0" fillId="0" borderId="0" xfId="121" applyNumberFormat="1" applyFont="1" applyProtection="1"/>
    <xf numFmtId="170" fontId="0" fillId="0" borderId="0" xfId="561" applyNumberFormat="1" applyFont="1" applyProtection="1"/>
    <xf numFmtId="0" fontId="39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170" fontId="7" fillId="0" borderId="0" xfId="117" applyNumberFormat="1" applyFont="1" applyProtection="1"/>
    <xf numFmtId="0" fontId="7" fillId="0" borderId="0" xfId="0" applyFont="1" applyBorder="1" applyProtection="1"/>
    <xf numFmtId="0" fontId="47" fillId="0" borderId="0" xfId="0" applyFont="1" applyFill="1" applyAlignment="1" applyProtection="1">
      <alignment vertical="top"/>
    </xf>
    <xf numFmtId="0" fontId="9" fillId="0" borderId="0" xfId="0" applyFont="1" applyAlignment="1" applyProtection="1">
      <alignment horizontal="left"/>
    </xf>
    <xf numFmtId="41" fontId="0" fillId="0" borderId="0" xfId="0" applyNumberFormat="1" applyProtection="1"/>
    <xf numFmtId="3" fontId="0" fillId="0" borderId="0" xfId="0" applyNumberFormat="1" applyProtection="1"/>
    <xf numFmtId="0" fontId="7" fillId="0" borderId="0" xfId="549" applyNumberFormat="1" applyFont="1" applyBorder="1" applyAlignment="1" applyProtection="1"/>
    <xf numFmtId="3" fontId="7" fillId="0" borderId="0" xfId="549" applyNumberFormat="1" applyFont="1" applyAlignment="1" applyProtection="1"/>
    <xf numFmtId="10" fontId="7" fillId="0" borderId="0" xfId="549" applyNumberFormat="1" applyFont="1" applyAlignment="1" applyProtection="1"/>
    <xf numFmtId="166" fontId="7" fillId="0" borderId="0" xfId="549" applyNumberFormat="1" applyFont="1" applyAlignment="1" applyProtection="1"/>
    <xf numFmtId="43" fontId="7" fillId="0" borderId="0" xfId="117" applyFont="1" applyAlignment="1" applyProtection="1"/>
    <xf numFmtId="169" fontId="7" fillId="0" borderId="0" xfId="549" applyFont="1" applyAlignment="1" applyProtection="1"/>
    <xf numFmtId="169" fontId="7" fillId="0" borderId="0" xfId="549" applyFont="1" applyBorder="1" applyAlignment="1" applyProtection="1"/>
    <xf numFmtId="0" fontId="7" fillId="28" borderId="0" xfId="117" applyNumberFormat="1" applyFont="1" applyFill="1" applyAlignment="1" applyProtection="1"/>
    <xf numFmtId="10" fontId="7" fillId="0" borderId="0" xfId="549" applyNumberFormat="1" applyFont="1" applyFill="1" applyAlignment="1" applyProtection="1">
      <alignment horizontal="right"/>
    </xf>
    <xf numFmtId="3" fontId="39" fillId="0" borderId="0" xfId="549" applyNumberFormat="1" applyFont="1" applyAlignment="1" applyProtection="1"/>
    <xf numFmtId="3" fontId="48" fillId="0" borderId="0" xfId="549" applyNumberFormat="1" applyFont="1" applyAlignment="1" applyProtection="1">
      <alignment horizontal="center"/>
    </xf>
    <xf numFmtId="10" fontId="48" fillId="0" borderId="0" xfId="549" applyNumberFormat="1" applyFont="1" applyFill="1" applyAlignment="1" applyProtection="1">
      <alignment horizontal="center"/>
    </xf>
    <xf numFmtId="0" fontId="7" fillId="0" borderId="0" xfId="549" applyNumberFormat="1" applyFont="1" applyFill="1" applyBorder="1" applyAlignment="1" applyProtection="1">
      <alignment horizontal="right"/>
    </xf>
    <xf numFmtId="10" fontId="0" fillId="0" borderId="0" xfId="0" applyNumberFormat="1" applyAlignment="1" applyProtection="1">
      <alignment horizontal="center"/>
    </xf>
    <xf numFmtId="166" fontId="7" fillId="0" borderId="0" xfId="549" applyNumberFormat="1" applyFont="1" applyAlignment="1" applyProtection="1">
      <alignment horizontal="center"/>
    </xf>
    <xf numFmtId="167" fontId="7" fillId="0" borderId="0" xfId="549" applyNumberFormat="1" applyFont="1" applyFill="1" applyAlignment="1" applyProtection="1"/>
    <xf numFmtId="165" fontId="7" fillId="0" borderId="0" xfId="549" applyNumberFormat="1" applyFont="1" applyAlignment="1" applyProtection="1">
      <alignment horizontal="center"/>
    </xf>
    <xf numFmtId="165" fontId="7" fillId="0" borderId="0" xfId="549" applyNumberFormat="1" applyFont="1" applyBorder="1" applyAlignment="1" applyProtection="1">
      <alignment horizontal="center"/>
    </xf>
    <xf numFmtId="169" fontId="7" fillId="0" borderId="13" xfId="549" applyFont="1" applyBorder="1" applyAlignment="1" applyProtection="1"/>
    <xf numFmtId="0" fontId="7" fillId="0" borderId="0" xfId="549" applyNumberFormat="1" applyFont="1" applyBorder="1" applyAlignment="1" applyProtection="1">
      <alignment horizontal="center"/>
    </xf>
    <xf numFmtId="3" fontId="7" fillId="0" borderId="14" xfId="549" applyNumberFormat="1" applyFont="1" applyBorder="1" applyAlignment="1" applyProtection="1"/>
    <xf numFmtId="41" fontId="7" fillId="0" borderId="0" xfId="549" applyNumberFormat="1" applyFont="1" applyAlignment="1" applyProtection="1"/>
    <xf numFmtId="41" fontId="7" fillId="0" borderId="0" xfId="549" applyNumberFormat="1" applyFont="1" applyAlignment="1" applyProtection="1">
      <alignment horizontal="center"/>
    </xf>
    <xf numFmtId="41" fontId="7" fillId="0" borderId="0" xfId="549" applyNumberFormat="1" applyFont="1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7" fillId="0" borderId="0" xfId="549" applyNumberFormat="1" applyFont="1" applyBorder="1" applyAlignment="1" applyProtection="1">
      <alignment horizontal="right"/>
    </xf>
    <xf numFmtId="167" fontId="48" fillId="0" borderId="0" xfId="549" applyNumberFormat="1" applyFont="1" applyFill="1" applyAlignment="1" applyProtection="1"/>
    <xf numFmtId="165" fontId="15" fillId="0" borderId="15" xfId="549" applyNumberFormat="1" applyFont="1" applyBorder="1" applyAlignment="1" applyProtection="1">
      <alignment horizontal="center"/>
    </xf>
    <xf numFmtId="0" fontId="7" fillId="28" borderId="6" xfId="549" applyNumberFormat="1" applyFont="1" applyFill="1" applyBorder="1" applyAlignment="1" applyProtection="1">
      <alignment horizontal="center"/>
    </xf>
    <xf numFmtId="170" fontId="7" fillId="0" borderId="6" xfId="549" applyNumberFormat="1" applyFont="1" applyBorder="1" applyAlignment="1" applyProtection="1">
      <alignment horizontal="center"/>
    </xf>
    <xf numFmtId="171" fontId="0" fillId="0" borderId="16" xfId="0" applyNumberFormat="1" applyBorder="1" applyProtection="1"/>
    <xf numFmtId="3" fontId="7" fillId="0" borderId="0" xfId="549" applyNumberFormat="1" applyFont="1" applyAlignment="1" applyProtection="1">
      <alignment horizontal="right"/>
    </xf>
    <xf numFmtId="0" fontId="63" fillId="0" borderId="0" xfId="0" applyFont="1" applyAlignment="1" applyProtection="1">
      <alignment horizontal="center"/>
    </xf>
    <xf numFmtId="10" fontId="7" fillId="0" borderId="0" xfId="549" applyNumberFormat="1" applyFont="1" applyFill="1" applyAlignment="1" applyProtection="1">
      <alignment horizontal="left"/>
    </xf>
    <xf numFmtId="41" fontId="7" fillId="0" borderId="0" xfId="549" applyNumberFormat="1" applyFont="1" applyBorder="1" applyAlignment="1" applyProtection="1"/>
    <xf numFmtId="41" fontId="7" fillId="0" borderId="0" xfId="549" applyNumberFormat="1" applyFont="1" applyFill="1" applyAlignment="1" applyProtection="1"/>
    <xf numFmtId="0" fontId="7" fillId="0" borderId="0" xfId="549" applyNumberFormat="1" applyFont="1" applyAlignment="1" applyProtection="1">
      <alignment horizontal="center"/>
    </xf>
    <xf numFmtId="41" fontId="7" fillId="0" borderId="0" xfId="549" quotePrefix="1" applyNumberFormat="1" applyFont="1" applyBorder="1" applyAlignment="1" applyProtection="1"/>
    <xf numFmtId="41" fontId="7" fillId="0" borderId="0" xfId="549" applyNumberFormat="1" applyFont="1" applyFill="1" applyBorder="1" applyAlignment="1" applyProtection="1">
      <alignment horizontal="right"/>
    </xf>
    <xf numFmtId="172" fontId="7" fillId="0" borderId="11" xfId="549" applyNumberFormat="1" applyFont="1" applyBorder="1" applyAlignment="1" applyProtection="1"/>
    <xf numFmtId="164" fontId="7" fillId="0" borderId="0" xfId="549" applyNumberFormat="1" applyFont="1" applyFill="1" applyBorder="1" applyAlignment="1" applyProtection="1">
      <alignment horizontal="left"/>
    </xf>
    <xf numFmtId="164" fontId="7" fillId="0" borderId="0" xfId="549" applyNumberFormat="1" applyFont="1" applyBorder="1" applyAlignment="1" applyProtection="1">
      <alignment horizontal="left"/>
    </xf>
    <xf numFmtId="3" fontId="7" fillId="0" borderId="0" xfId="549" applyNumberFormat="1" applyFont="1" applyAlignment="1" applyProtection="1">
      <alignment vertical="center" wrapText="1"/>
    </xf>
    <xf numFmtId="41" fontId="7" fillId="0" borderId="0" xfId="549" applyNumberFormat="1" applyFont="1" applyBorder="1" applyAlignment="1" applyProtection="1">
      <alignment vertical="center"/>
    </xf>
    <xf numFmtId="41" fontId="7" fillId="0" borderId="0" xfId="549" applyNumberFormat="1" applyFont="1" applyBorder="1" applyAlignment="1" applyProtection="1">
      <alignment horizontal="center" vertical="center"/>
    </xf>
    <xf numFmtId="41" fontId="7" fillId="0" borderId="0" xfId="549" applyNumberFormat="1" applyFont="1" applyAlignment="1" applyProtection="1">
      <alignment horizontal="right"/>
    </xf>
    <xf numFmtId="10" fontId="7" fillId="0" borderId="0" xfId="0" applyNumberFormat="1" applyFont="1" applyBorder="1" applyProtection="1"/>
    <xf numFmtId="0" fontId="7" fillId="0" borderId="0" xfId="0" applyFont="1" applyFill="1" applyAlignment="1" applyProtection="1">
      <alignment horizontal="center"/>
    </xf>
    <xf numFmtId="41" fontId="7" fillId="0" borderId="0" xfId="0" applyNumberFormat="1" applyFont="1" applyProtection="1"/>
    <xf numFmtId="3" fontId="14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/>
    <xf numFmtId="3" fontId="14" fillId="0" borderId="0" xfId="549" applyNumberFormat="1" applyFont="1" applyFill="1" applyBorder="1" applyAlignment="1" applyProtection="1">
      <alignment horizontal="center"/>
    </xf>
    <xf numFmtId="41" fontId="14" fillId="0" borderId="0" xfId="549" applyNumberFormat="1" applyFont="1" applyFill="1" applyBorder="1" applyAlignment="1" applyProtection="1"/>
    <xf numFmtId="0" fontId="14" fillId="0" borderId="0" xfId="549" applyNumberFormat="1" applyFont="1" applyFill="1" applyBorder="1" applyAlignment="1" applyProtection="1"/>
    <xf numFmtId="0" fontId="47" fillId="0" borderId="0" xfId="0" applyFont="1" applyFill="1" applyProtection="1"/>
    <xf numFmtId="0" fontId="6" fillId="0" borderId="0" xfId="0" applyFont="1" applyFill="1" applyProtection="1"/>
    <xf numFmtId="0" fontId="14" fillId="0" borderId="0" xfId="549" applyNumberFormat="1" applyFont="1" applyFill="1" applyBorder="1" applyProtection="1"/>
    <xf numFmtId="0" fontId="7" fillId="0" borderId="0" xfId="549" applyNumberFormat="1" applyFont="1" applyFill="1" applyBorder="1" applyAlignment="1" applyProtection="1"/>
    <xf numFmtId="3" fontId="7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>
      <alignment horizontal="center"/>
    </xf>
    <xf numFmtId="0" fontId="7" fillId="0" borderId="0" xfId="549" applyNumberFormat="1" applyFont="1" applyFill="1" applyBorder="1" applyProtection="1"/>
    <xf numFmtId="3" fontId="7" fillId="0" borderId="0" xfId="549" applyNumberFormat="1" applyFont="1" applyFill="1" applyBorder="1" applyAlignment="1" applyProtection="1">
      <alignment horizontal="center"/>
    </xf>
    <xf numFmtId="41" fontId="7" fillId="0" borderId="11" xfId="549" applyNumberFormat="1" applyFont="1" applyFill="1" applyBorder="1" applyAlignment="1" applyProtection="1"/>
    <xf numFmtId="0" fontId="7" fillId="0" borderId="0" xfId="0" applyFont="1" applyFill="1" applyBorder="1" applyProtection="1"/>
    <xf numFmtId="0" fontId="7" fillId="0" borderId="0" xfId="549" applyNumberFormat="1" applyFont="1" applyFill="1" applyBorder="1" applyAlignment="1" applyProtection="1">
      <alignment horizontal="center"/>
    </xf>
    <xf numFmtId="10" fontId="7" fillId="0" borderId="0" xfId="549" applyNumberFormat="1" applyFont="1" applyFill="1" applyBorder="1" applyAlignment="1" applyProtection="1"/>
    <xf numFmtId="167" fontId="7" fillId="0" borderId="0" xfId="549" applyNumberFormat="1" applyFont="1" applyFill="1" applyBorder="1" applyAlignment="1" applyProtection="1"/>
    <xf numFmtId="169" fontId="7" fillId="0" borderId="0" xfId="549" applyFont="1" applyFill="1" applyBorder="1" applyAlignment="1" applyProtection="1"/>
    <xf numFmtId="3" fontId="7" fillId="0" borderId="0" xfId="549" quotePrefix="1" applyNumberFormat="1" applyFont="1" applyFill="1" applyBorder="1" applyAlignment="1" applyProtection="1"/>
    <xf numFmtId="3" fontId="39" fillId="0" borderId="0" xfId="549" applyNumberFormat="1" applyFont="1" applyFill="1" applyBorder="1" applyAlignment="1" applyProtection="1">
      <alignment horizontal="right"/>
    </xf>
    <xf numFmtId="167" fontId="39" fillId="0" borderId="0" xfId="549" applyNumberFormat="1" applyFont="1" applyFill="1" applyBorder="1" applyAlignment="1" applyProtection="1"/>
    <xf numFmtId="3" fontId="39" fillId="0" borderId="0" xfId="549" quotePrefix="1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41" fontId="7" fillId="0" borderId="0" xfId="0" applyNumberFormat="1" applyFont="1" applyFill="1" applyBorder="1" applyProtection="1"/>
    <xf numFmtId="170" fontId="7" fillId="0" borderId="0" xfId="117" applyNumberFormat="1" applyFont="1" applyFill="1" applyBorder="1" applyProtection="1"/>
    <xf numFmtId="41" fontId="48" fillId="0" borderId="0" xfId="549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0" fillId="0" borderId="0" xfId="0" applyAlignment="1" applyProtection="1"/>
    <xf numFmtId="41" fontId="7" fillId="0" borderId="11" xfId="0" applyNumberFormat="1" applyFont="1" applyFill="1" applyBorder="1" applyProtection="1"/>
    <xf numFmtId="41" fontId="7" fillId="0" borderId="0" xfId="0" applyNumberFormat="1" applyFont="1" applyBorder="1" applyProtection="1"/>
    <xf numFmtId="41" fontId="48" fillId="0" borderId="0" xfId="0" applyNumberFormat="1" applyFont="1" applyProtection="1"/>
    <xf numFmtId="0" fontId="7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41" fontId="7" fillId="0" borderId="0" xfId="0" applyNumberFormat="1" applyFont="1" applyFill="1" applyProtection="1"/>
    <xf numFmtId="170" fontId="7" fillId="0" borderId="0" xfId="117" applyNumberFormat="1" applyFont="1" applyFill="1" applyProtection="1"/>
    <xf numFmtId="10" fontId="7" fillId="0" borderId="11" xfId="0" applyNumberFormat="1" applyFont="1" applyFill="1" applyBorder="1" applyProtection="1"/>
    <xf numFmtId="9" fontId="7" fillId="0" borderId="11" xfId="559" applyFont="1" applyFill="1" applyBorder="1" applyProtection="1"/>
    <xf numFmtId="170" fontId="7" fillId="0" borderId="11" xfId="117" applyNumberFormat="1" applyFont="1" applyFill="1" applyBorder="1" applyAlignment="1" applyProtection="1"/>
    <xf numFmtId="41" fontId="7" fillId="0" borderId="11" xfId="0" applyNumberFormat="1" applyFont="1" applyBorder="1" applyProtection="1"/>
    <xf numFmtId="10" fontId="7" fillId="0" borderId="0" xfId="0" applyNumberFormat="1" applyFont="1" applyProtection="1"/>
    <xf numFmtId="10" fontId="48" fillId="0" borderId="0" xfId="0" applyNumberFormat="1" applyFont="1" applyProtection="1"/>
    <xf numFmtId="170" fontId="7" fillId="0" borderId="11" xfId="117" applyNumberFormat="1" applyFont="1" applyFill="1" applyBorder="1" applyProtection="1"/>
    <xf numFmtId="174" fontId="7" fillId="0" borderId="0" xfId="0" applyNumberFormat="1" applyFont="1" applyProtection="1"/>
    <xf numFmtId="43" fontId="7" fillId="0" borderId="0" xfId="117" applyFont="1" applyProtection="1"/>
    <xf numFmtId="43" fontId="7" fillId="0" borderId="0" xfId="117" applyNumberFormat="1" applyFont="1" applyProtection="1"/>
    <xf numFmtId="170" fontId="7" fillId="0" borderId="0" xfId="0" applyNumberFormat="1" applyFont="1" applyProtection="1"/>
    <xf numFmtId="0" fontId="7" fillId="0" borderId="0" xfId="0" applyNumberFormat="1" applyFont="1" applyBorder="1" applyAlignment="1" applyProtection="1">
      <alignment horizontal="center"/>
    </xf>
    <xf numFmtId="170" fontId="7" fillId="0" borderId="0" xfId="0" applyNumberFormat="1" applyFont="1" applyBorder="1" applyProtection="1"/>
    <xf numFmtId="170" fontId="7" fillId="0" borderId="0" xfId="117" applyNumberFormat="1" applyFont="1" applyBorder="1" applyProtection="1"/>
    <xf numFmtId="171" fontId="7" fillId="0" borderId="0" xfId="0" applyNumberFormat="1" applyFont="1" applyBorder="1" applyProtection="1"/>
    <xf numFmtId="0" fontId="65" fillId="0" borderId="0" xfId="0" quotePrefix="1" applyFont="1" applyAlignment="1" applyProtection="1">
      <alignment horizontal="left"/>
    </xf>
    <xf numFmtId="0" fontId="66" fillId="0" borderId="0" xfId="0" quotePrefix="1" applyFont="1" applyAlignment="1" applyProtection="1">
      <alignment horizontal="left"/>
    </xf>
    <xf numFmtId="0" fontId="7" fillId="0" borderId="17" xfId="0" quotePrefix="1" applyFont="1" applyFill="1" applyBorder="1" applyAlignment="1" applyProtection="1">
      <alignment horizontal="left"/>
    </xf>
    <xf numFmtId="0" fontId="0" fillId="0" borderId="46" xfId="0" quotePrefix="1" applyBorder="1" applyAlignment="1" applyProtection="1">
      <alignment horizontal="left"/>
    </xf>
    <xf numFmtId="0" fontId="121" fillId="0" borderId="41" xfId="0" quotePrefix="1" applyFont="1" applyFill="1" applyBorder="1" applyAlignment="1" applyProtection="1">
      <alignment horizontal="right"/>
    </xf>
    <xf numFmtId="0" fontId="103" fillId="0" borderId="14" xfId="0" applyFont="1" applyBorder="1" applyProtection="1"/>
    <xf numFmtId="10" fontId="7" fillId="0" borderId="0" xfId="0" applyNumberFormat="1" applyFont="1" applyFill="1" applyProtection="1"/>
    <xf numFmtId="170" fontId="121" fillId="0" borderId="41" xfId="308" applyNumberFormat="1" applyFont="1" applyFill="1" applyBorder="1" applyProtection="1"/>
    <xf numFmtId="180" fontId="121" fillId="0" borderId="41" xfId="620" applyNumberFormat="1" applyFont="1" applyFill="1" applyBorder="1" applyProtection="1"/>
    <xf numFmtId="0" fontId="103" fillId="0" borderId="39" xfId="0" applyFont="1" applyBorder="1" applyProtection="1"/>
    <xf numFmtId="0" fontId="103" fillId="0" borderId="40" xfId="0" applyFont="1" applyBorder="1" applyProtection="1"/>
    <xf numFmtId="41" fontId="54" fillId="0" borderId="13" xfId="0" applyNumberFormat="1" applyFont="1" applyBorder="1" applyProtection="1"/>
    <xf numFmtId="3" fontId="7" fillId="0" borderId="43" xfId="484" applyNumberFormat="1" applyFont="1" applyFill="1" applyBorder="1" applyProtection="1"/>
    <xf numFmtId="10" fontId="54" fillId="0" borderId="13" xfId="0" applyNumberFormat="1" applyFont="1" applyBorder="1" applyProtection="1"/>
    <xf numFmtId="0" fontId="7" fillId="0" borderId="14" xfId="484" applyFont="1" applyFill="1" applyBorder="1" applyProtection="1"/>
    <xf numFmtId="10" fontId="121" fillId="0" borderId="41" xfId="561" applyNumberFormat="1" applyFont="1" applyFill="1" applyBorder="1" applyProtection="1"/>
    <xf numFmtId="0" fontId="54" fillId="0" borderId="20" xfId="0" applyFont="1" applyBorder="1" applyProtection="1"/>
    <xf numFmtId="170" fontId="121" fillId="0" borderId="42" xfId="0" applyNumberFormat="1" applyFont="1" applyFill="1" applyBorder="1" applyProtection="1"/>
    <xf numFmtId="0" fontId="54" fillId="0" borderId="44" xfId="0" applyFont="1" applyBorder="1" applyProtection="1"/>
    <xf numFmtId="170" fontId="7" fillId="0" borderId="0" xfId="0" applyNumberFormat="1" applyFont="1" applyFill="1" applyBorder="1" applyProtection="1"/>
    <xf numFmtId="0" fontId="54" fillId="0" borderId="16" xfId="0" applyFont="1" applyBorder="1" applyProtection="1"/>
    <xf numFmtId="170" fontId="54" fillId="0" borderId="24" xfId="0" applyNumberFormat="1" applyFont="1" applyBorder="1" applyProtection="1"/>
    <xf numFmtId="170" fontId="54" fillId="0" borderId="25" xfId="0" applyNumberFormat="1" applyFont="1" applyBorder="1" applyProtection="1"/>
    <xf numFmtId="171" fontId="54" fillId="0" borderId="26" xfId="0" applyNumberFormat="1" applyFont="1" applyBorder="1" applyProtection="1"/>
    <xf numFmtId="0" fontId="50" fillId="0" borderId="0" xfId="0" applyFont="1" applyFill="1" applyProtection="1"/>
    <xf numFmtId="0" fontId="0" fillId="0" borderId="0" xfId="0" applyAlignment="1" applyProtection="1">
      <alignment wrapText="1"/>
    </xf>
    <xf numFmtId="0" fontId="7" fillId="26" borderId="0" xfId="117" applyNumberFormat="1" applyFont="1" applyFill="1" applyAlignment="1" applyProtection="1"/>
    <xf numFmtId="0" fontId="7" fillId="0" borderId="0" xfId="117" applyNumberFormat="1" applyFont="1" applyFill="1" applyAlignment="1" applyProtection="1"/>
    <xf numFmtId="169" fontId="15" fillId="0" borderId="17" xfId="549" applyFont="1" applyBorder="1" applyAlignment="1" applyProtection="1"/>
    <xf numFmtId="169" fontId="7" fillId="0" borderId="18" xfId="549" applyFont="1" applyBorder="1" applyAlignment="1" applyProtection="1"/>
    <xf numFmtId="3" fontId="7" fillId="0" borderId="19" xfId="549" applyNumberFormat="1" applyFont="1" applyBorder="1" applyAlignment="1" applyProtection="1"/>
    <xf numFmtId="0" fontId="7" fillId="28" borderId="0" xfId="549" applyNumberFormat="1" applyFont="1" applyFill="1" applyBorder="1" applyAlignment="1" applyProtection="1">
      <alignment horizontal="center"/>
    </xf>
    <xf numFmtId="167" fontId="7" fillId="0" borderId="0" xfId="549" applyNumberFormat="1" applyFont="1" applyAlignment="1" applyProtection="1"/>
    <xf numFmtId="0" fontId="7" fillId="0" borderId="0" xfId="0" quotePrefix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14" xfId="0" applyNumberFormat="1" applyBorder="1" applyProtection="1"/>
    <xf numFmtId="0" fontId="0" fillId="0" borderId="0" xfId="0" quotePrefix="1" applyBorder="1" applyAlignment="1" applyProtection="1">
      <alignment horizontal="right"/>
    </xf>
    <xf numFmtId="171" fontId="0" fillId="0" borderId="6" xfId="0" applyNumberFormat="1" applyBorder="1" applyProtection="1"/>
    <xf numFmtId="167" fontId="48" fillId="0" borderId="0" xfId="549" applyNumberFormat="1" applyFont="1" applyAlignment="1" applyProtection="1"/>
    <xf numFmtId="0" fontId="0" fillId="0" borderId="0" xfId="0" applyBorder="1" applyAlignment="1" applyProtection="1">
      <alignment horizontal="right"/>
    </xf>
    <xf numFmtId="170" fontId="0" fillId="0" borderId="0" xfId="0" applyNumberFormat="1" applyBorder="1" applyProtection="1"/>
    <xf numFmtId="170" fontId="0" fillId="0" borderId="19" xfId="0" applyNumberFormat="1" applyBorder="1" applyProtection="1"/>
    <xf numFmtId="173" fontId="7" fillId="0" borderId="0" xfId="549" applyNumberFormat="1" applyFont="1" applyAlignment="1" applyProtection="1"/>
    <xf numFmtId="165" fontId="7" fillId="0" borderId="15" xfId="549" applyNumberFormat="1" applyFont="1" applyBorder="1" applyAlignment="1" applyProtection="1">
      <alignment horizontal="center"/>
    </xf>
    <xf numFmtId="0" fontId="7" fillId="0" borderId="6" xfId="549" applyNumberFormat="1" applyFont="1" applyBorder="1" applyAlignment="1" applyProtection="1">
      <alignment horizontal="center"/>
    </xf>
    <xf numFmtId="170" fontId="7" fillId="0" borderId="6" xfId="549" quotePrefix="1" applyNumberFormat="1" applyFont="1" applyBorder="1" applyAlignment="1" applyProtection="1">
      <alignment horizontal="center"/>
    </xf>
    <xf numFmtId="41" fontId="48" fillId="0" borderId="11" xfId="549" applyNumberFormat="1" applyFont="1" applyFill="1" applyBorder="1" applyAlignment="1" applyProtection="1"/>
    <xf numFmtId="10" fontId="7" fillId="0" borderId="0" xfId="0" applyNumberFormat="1" applyFont="1" applyFill="1" applyBorder="1" applyProtection="1"/>
    <xf numFmtId="9" fontId="7" fillId="0" borderId="0" xfId="559" applyFont="1" applyFill="1" applyBorder="1" applyProtection="1"/>
    <xf numFmtId="170" fontId="7" fillId="0" borderId="0" xfId="117" applyNumberFormat="1" applyFont="1" applyFill="1" applyBorder="1" applyAlignment="1" applyProtection="1"/>
    <xf numFmtId="41" fontId="56" fillId="0" borderId="0" xfId="0" applyNumberFormat="1" applyFont="1" applyProtection="1"/>
    <xf numFmtId="10" fontId="0" fillId="0" borderId="0" xfId="0" applyNumberFormat="1" applyProtection="1"/>
    <xf numFmtId="164" fontId="1" fillId="0" borderId="0" xfId="559" applyNumberFormat="1" applyProtection="1"/>
    <xf numFmtId="0" fontId="7" fillId="0" borderId="47" xfId="0" quotePrefix="1" applyFont="1" applyFill="1" applyBorder="1" applyAlignment="1" applyProtection="1">
      <alignment horizontal="left"/>
    </xf>
    <xf numFmtId="0" fontId="0" fillId="0" borderId="19" xfId="0" applyBorder="1" applyProtection="1"/>
    <xf numFmtId="0" fontId="54" fillId="0" borderId="41" xfId="0" quotePrefix="1" applyFont="1" applyFill="1" applyBorder="1" applyAlignment="1" applyProtection="1">
      <alignment horizontal="right"/>
    </xf>
    <xf numFmtId="10" fontId="54" fillId="0" borderId="41" xfId="0" applyNumberFormat="1" applyFont="1" applyBorder="1" applyProtection="1"/>
    <xf numFmtId="170" fontId="54" fillId="0" borderId="41" xfId="317" applyNumberFormat="1" applyFont="1" applyBorder="1" applyProtection="1"/>
    <xf numFmtId="166" fontId="54" fillId="0" borderId="41" xfId="0" applyNumberFormat="1" applyFont="1" applyBorder="1" applyProtection="1"/>
    <xf numFmtId="3" fontId="54" fillId="0" borderId="43" xfId="0" applyNumberFormat="1" applyFont="1" applyBorder="1" applyProtection="1"/>
    <xf numFmtId="0" fontId="54" fillId="0" borderId="14" xfId="0" applyFont="1" applyBorder="1" applyProtection="1"/>
    <xf numFmtId="0" fontId="7" fillId="0" borderId="14" xfId="0" applyFont="1" applyFill="1" applyBorder="1" applyProtection="1"/>
    <xf numFmtId="170" fontId="54" fillId="0" borderId="42" xfId="0" applyNumberFormat="1" applyFont="1" applyBorder="1" applyProtection="1"/>
    <xf numFmtId="170" fontId="54" fillId="0" borderId="45" xfId="0" applyNumberFormat="1" applyFont="1" applyBorder="1" applyProtection="1"/>
    <xf numFmtId="171" fontId="54" fillId="0" borderId="25" xfId="0" applyNumberFormat="1" applyFont="1" applyBorder="1" applyProtection="1"/>
    <xf numFmtId="0" fontId="50" fillId="0" borderId="0" xfId="0" quotePrefix="1" applyFont="1" applyAlignment="1" applyProtection="1">
      <alignment horizontal="left"/>
    </xf>
    <xf numFmtId="0" fontId="46" fillId="0" borderId="0" xfId="0" applyFont="1" applyAlignment="1" applyProtection="1">
      <alignment horizontal="right"/>
    </xf>
    <xf numFmtId="0" fontId="67" fillId="0" borderId="0" xfId="0" applyFont="1" applyFill="1" applyAlignment="1" applyProtection="1">
      <alignment horizontal="right"/>
    </xf>
    <xf numFmtId="0" fontId="46" fillId="0" borderId="0" xfId="0" quotePrefix="1" applyFont="1" applyAlignment="1" applyProtection="1">
      <alignment horizontal="right"/>
    </xf>
    <xf numFmtId="0" fontId="68" fillId="0" borderId="0" xfId="0" quotePrefix="1" applyFont="1" applyAlignment="1" applyProtection="1">
      <alignment horizontal="left"/>
    </xf>
    <xf numFmtId="0" fontId="39" fillId="0" borderId="0" xfId="0" applyFont="1" applyAlignment="1" applyProtection="1">
      <alignment horizontal="left"/>
    </xf>
    <xf numFmtId="0" fontId="51" fillId="27" borderId="0" xfId="117" applyNumberFormat="1" applyFont="1" applyFill="1" applyAlignment="1" applyProtection="1">
      <alignment horizontal="left"/>
    </xf>
    <xf numFmtId="0" fontId="39" fillId="0" borderId="17" xfId="0" applyFont="1" applyBorder="1" applyProtection="1"/>
    <xf numFmtId="0" fontId="39" fillId="0" borderId="18" xfId="0" applyFont="1" applyBorder="1" applyProtection="1"/>
    <xf numFmtId="0" fontId="7" fillId="0" borderId="18" xfId="0" applyFont="1" applyBorder="1" applyProtection="1"/>
    <xf numFmtId="170" fontId="39" fillId="0" borderId="19" xfId="117" applyNumberFormat="1" applyFont="1" applyBorder="1" applyProtection="1"/>
    <xf numFmtId="0" fontId="14" fillId="0" borderId="0" xfId="117" applyNumberFormat="1" applyFont="1" applyFill="1" applyAlignment="1" applyProtection="1">
      <alignment horizontal="left"/>
    </xf>
    <xf numFmtId="0" fontId="14" fillId="0" borderId="0" xfId="117" applyNumberFormat="1" applyFont="1" applyFill="1" applyBorder="1" applyAlignment="1" applyProtection="1">
      <alignment horizontal="left"/>
    </xf>
    <xf numFmtId="0" fontId="39" fillId="0" borderId="13" xfId="0" applyFont="1" applyBorder="1" applyProtection="1"/>
    <xf numFmtId="0" fontId="9" fillId="0" borderId="0" xfId="117" applyNumberFormat="1" applyFont="1" applyFill="1" applyBorder="1" applyAlignment="1" applyProtection="1">
      <alignment horizontal="left"/>
    </xf>
    <xf numFmtId="170" fontId="39" fillId="0" borderId="20" xfId="117" applyNumberFormat="1" applyFont="1" applyBorder="1" applyProtection="1"/>
    <xf numFmtId="0" fontId="39" fillId="0" borderId="0" xfId="0" applyFont="1" applyFill="1" applyProtection="1"/>
    <xf numFmtId="0" fontId="52" fillId="0" borderId="0" xfId="0" quotePrefix="1" applyFont="1" applyFill="1" applyAlignment="1" applyProtection="1">
      <alignment horizontal="left"/>
    </xf>
    <xf numFmtId="170" fontId="39" fillId="0" borderId="15" xfId="117" applyNumberFormat="1" applyFont="1" applyBorder="1" applyProtection="1"/>
    <xf numFmtId="170" fontId="7" fillId="0" borderId="6" xfId="117" applyNumberFormat="1" applyFont="1" applyBorder="1" applyProtection="1"/>
    <xf numFmtId="170" fontId="7" fillId="0" borderId="16" xfId="117" applyNumberFormat="1" applyFont="1" applyBorder="1" applyProtection="1"/>
    <xf numFmtId="0" fontId="53" fillId="0" borderId="0" xfId="0" applyFont="1" applyFill="1" applyAlignment="1" applyProtection="1"/>
    <xf numFmtId="0" fontId="55" fillId="0" borderId="0" xfId="0" applyFont="1" applyFill="1" applyAlignment="1" applyProtection="1"/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39" fillId="0" borderId="21" xfId="0" applyFont="1" applyFill="1" applyBorder="1" applyAlignment="1" applyProtection="1">
      <alignment horizontal="center"/>
    </xf>
    <xf numFmtId="0" fontId="61" fillId="28" borderId="22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>
      <alignment horizontal="center"/>
    </xf>
    <xf numFmtId="0" fontId="39" fillId="0" borderId="23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7" fillId="0" borderId="13" xfId="0" quotePrefix="1" applyFont="1" applyFill="1" applyBorder="1" applyAlignment="1" applyProtection="1">
      <alignment horizontal="left"/>
    </xf>
    <xf numFmtId="170" fontId="54" fillId="27" borderId="14" xfId="117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39" fillId="0" borderId="19" xfId="0" applyFont="1" applyFill="1" applyBorder="1" applyAlignment="1" applyProtection="1">
      <alignment horizontal="center"/>
    </xf>
    <xf numFmtId="0" fontId="7" fillId="0" borderId="13" xfId="0" applyFont="1" applyFill="1" applyBorder="1" applyProtection="1"/>
    <xf numFmtId="0" fontId="54" fillId="27" borderId="14" xfId="0" applyFont="1" applyFill="1" applyBorder="1" applyAlignment="1" applyProtection="1">
      <alignment horizontal="right"/>
    </xf>
    <xf numFmtId="170" fontId="7" fillId="0" borderId="14" xfId="0" applyNumberFormat="1" applyFont="1" applyFill="1" applyBorder="1" applyAlignment="1" applyProtection="1">
      <alignment horizontal="right"/>
    </xf>
    <xf numFmtId="170" fontId="7" fillId="0" borderId="0" xfId="0" applyNumberFormat="1" applyFont="1" applyFill="1" applyBorder="1" applyAlignment="1" applyProtection="1">
      <alignment horizontal="right"/>
    </xf>
    <xf numFmtId="10" fontId="7" fillId="0" borderId="14" xfId="0" applyNumberFormat="1" applyFont="1" applyBorder="1" applyProtection="1"/>
    <xf numFmtId="170" fontId="7" fillId="0" borderId="14" xfId="117" applyNumberFormat="1" applyFont="1" applyBorder="1" applyProtection="1"/>
    <xf numFmtId="0" fontId="39" fillId="0" borderId="24" xfId="0" applyFont="1" applyBorder="1" applyAlignment="1" applyProtection="1">
      <alignment horizontal="center"/>
    </xf>
    <xf numFmtId="170" fontId="39" fillId="0" borderId="24" xfId="117" applyNumberFormat="1" applyFont="1" applyBorder="1" applyAlignment="1" applyProtection="1">
      <alignment horizontal="center"/>
    </xf>
    <xf numFmtId="170" fontId="39" fillId="27" borderId="19" xfId="117" quotePrefix="1" applyNumberFormat="1" applyFont="1" applyFill="1" applyBorder="1" applyAlignment="1" applyProtection="1">
      <alignment horizontal="center" wrapText="1"/>
    </xf>
    <xf numFmtId="170" fontId="39" fillId="0" borderId="19" xfId="117" quotePrefix="1" applyNumberFormat="1" applyFont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/>
    </xf>
    <xf numFmtId="170" fontId="39" fillId="0" borderId="24" xfId="117" quotePrefix="1" applyNumberFormat="1" applyFont="1" applyBorder="1" applyAlignment="1" applyProtection="1">
      <alignment horizontal="center" wrapText="1"/>
    </xf>
    <xf numFmtId="170" fontId="39" fillId="0" borderId="24" xfId="117" applyNumberFormat="1" applyFont="1" applyFill="1" applyBorder="1" applyAlignment="1" applyProtection="1">
      <alignment horizontal="center" wrapText="1"/>
    </xf>
    <xf numFmtId="170" fontId="39" fillId="0" borderId="24" xfId="117" applyNumberFormat="1" applyFont="1" applyBorder="1" applyAlignment="1" applyProtection="1">
      <alignment horizontal="center" wrapText="1"/>
    </xf>
    <xf numFmtId="0" fontId="39" fillId="0" borderId="26" xfId="0" applyFont="1" applyBorder="1" applyAlignment="1" applyProtection="1">
      <alignment horizontal="center"/>
    </xf>
    <xf numFmtId="170" fontId="39" fillId="27" borderId="16" xfId="117" applyNumberFormat="1" applyFont="1" applyFill="1" applyBorder="1" applyAlignment="1" applyProtection="1">
      <alignment horizontal="center"/>
    </xf>
    <xf numFmtId="170" fontId="39" fillId="0" borderId="16" xfId="117" applyNumberFormat="1" applyFont="1" applyBorder="1" applyAlignment="1" applyProtection="1">
      <alignment horizontal="center"/>
    </xf>
    <xf numFmtId="0" fontId="39" fillId="0" borderId="26" xfId="0" applyFont="1" applyFill="1" applyBorder="1" applyAlignment="1" applyProtection="1">
      <alignment horizontal="center"/>
    </xf>
    <xf numFmtId="0" fontId="39" fillId="0" borderId="25" xfId="0" applyFont="1" applyFill="1" applyBorder="1" applyAlignment="1" applyProtection="1">
      <alignment horizontal="center"/>
    </xf>
    <xf numFmtId="170" fontId="39" fillId="0" borderId="26" xfId="117" applyNumberFormat="1" applyFont="1" applyBorder="1" applyAlignment="1" applyProtection="1">
      <alignment horizontal="center"/>
    </xf>
    <xf numFmtId="170" fontId="39" fillId="0" borderId="26" xfId="117" applyNumberFormat="1" applyFont="1" applyFill="1" applyBorder="1" applyAlignment="1" applyProtection="1">
      <alignment horizontal="center"/>
    </xf>
    <xf numFmtId="170" fontId="39" fillId="0" borderId="15" xfId="117" applyNumberFormat="1" applyFont="1" applyFill="1" applyBorder="1" applyAlignment="1" applyProtection="1">
      <alignment horizontal="center"/>
    </xf>
    <xf numFmtId="0" fontId="7" fillId="0" borderId="25" xfId="0" applyNumberFormat="1" applyFont="1" applyBorder="1" applyAlignment="1" applyProtection="1">
      <alignment horizontal="center"/>
    </xf>
    <xf numFmtId="170" fontId="54" fillId="27" borderId="0" xfId="0" applyNumberFormat="1" applyFont="1" applyFill="1" applyBorder="1" applyProtection="1"/>
    <xf numFmtId="170" fontId="54" fillId="27" borderId="24" xfId="117" applyNumberFormat="1" applyFont="1" applyFill="1" applyBorder="1" applyProtection="1"/>
    <xf numFmtId="171" fontId="7" fillId="0" borderId="14" xfId="0" applyNumberFormat="1" applyFont="1" applyBorder="1" applyProtection="1"/>
    <xf numFmtId="171" fontId="54" fillId="0" borderId="25" xfId="0" applyNumberFormat="1" applyFont="1" applyFill="1" applyBorder="1" applyProtection="1"/>
    <xf numFmtId="171" fontId="7" fillId="0" borderId="24" xfId="0" applyNumberFormat="1" applyFont="1" applyBorder="1" applyProtection="1"/>
    <xf numFmtId="171" fontId="7" fillId="0" borderId="25" xfId="0" applyNumberFormat="1" applyFont="1" applyBorder="1" applyProtection="1"/>
    <xf numFmtId="170" fontId="54" fillId="27" borderId="25" xfId="0" applyNumberFormat="1" applyFont="1" applyFill="1" applyBorder="1" applyProtection="1"/>
    <xf numFmtId="170" fontId="54" fillId="27" borderId="25" xfId="117" applyNumberFormat="1" applyFont="1" applyFill="1" applyBorder="1" applyProtection="1"/>
    <xf numFmtId="170" fontId="54" fillId="27" borderId="14" xfId="117" applyNumberFormat="1" applyFont="1" applyFill="1" applyBorder="1" applyProtection="1"/>
    <xf numFmtId="0" fontId="7" fillId="0" borderId="25" xfId="0" applyNumberFormat="1" applyFont="1" applyFill="1" applyBorder="1" applyAlignment="1" applyProtection="1">
      <alignment horizontal="center"/>
    </xf>
    <xf numFmtId="170" fontId="7" fillId="0" borderId="25" xfId="0" applyNumberFormat="1" applyFont="1" applyFill="1" applyBorder="1" applyProtection="1"/>
    <xf numFmtId="170" fontId="1" fillId="0" borderId="25" xfId="117" applyNumberFormat="1" applyBorder="1" applyProtection="1"/>
    <xf numFmtId="170" fontId="7" fillId="0" borderId="25" xfId="0" applyNumberFormat="1" applyFont="1" applyBorder="1" applyProtection="1"/>
    <xf numFmtId="170" fontId="7" fillId="0" borderId="25" xfId="117" applyNumberFormat="1" applyFont="1" applyBorder="1" applyProtection="1"/>
    <xf numFmtId="171" fontId="54" fillId="27" borderId="25" xfId="0" applyNumberFormat="1" applyFont="1" applyFill="1" applyBorder="1" applyProtection="1"/>
    <xf numFmtId="170" fontId="7" fillId="0" borderId="25" xfId="117" applyNumberFormat="1" applyFont="1" applyFill="1" applyBorder="1" applyProtection="1"/>
    <xf numFmtId="0" fontId="7" fillId="0" borderId="26" xfId="0" applyNumberFormat="1" applyFont="1" applyBorder="1" applyAlignment="1" applyProtection="1">
      <alignment horizontal="center"/>
    </xf>
    <xf numFmtId="170" fontId="7" fillId="0" borderId="26" xfId="0" applyNumberFormat="1" applyFont="1" applyBorder="1" applyProtection="1"/>
    <xf numFmtId="170" fontId="1" fillId="0" borderId="26" xfId="117" applyNumberFormat="1" applyBorder="1" applyProtection="1"/>
    <xf numFmtId="170" fontId="7" fillId="0" borderId="26" xfId="117" applyNumberFormat="1" applyFont="1" applyFill="1" applyBorder="1" applyProtection="1"/>
    <xf numFmtId="171" fontId="7" fillId="0" borderId="16" xfId="0" applyNumberFormat="1" applyFont="1" applyBorder="1" applyProtection="1"/>
    <xf numFmtId="171" fontId="54" fillId="27" borderId="26" xfId="0" applyNumberFormat="1" applyFont="1" applyFill="1" applyBorder="1" applyProtection="1"/>
    <xf numFmtId="171" fontId="7" fillId="0" borderId="26" xfId="0" applyNumberFormat="1" applyFont="1" applyBorder="1" applyProtection="1"/>
    <xf numFmtId="0" fontId="53" fillId="0" borderId="0" xfId="0" applyFont="1" applyFill="1" applyProtection="1"/>
    <xf numFmtId="0" fontId="46" fillId="0" borderId="0" xfId="0" applyFont="1" applyFill="1" applyAlignment="1" applyProtection="1">
      <alignment horizontal="right"/>
    </xf>
    <xf numFmtId="0" fontId="69" fillId="0" borderId="0" xfId="0" applyFont="1" applyProtection="1"/>
    <xf numFmtId="0" fontId="7" fillId="0" borderId="0" xfId="0" applyFont="1" applyAlignment="1" applyProtection="1">
      <alignment horizontal="left"/>
    </xf>
    <xf numFmtId="0" fontId="46" fillId="0" borderId="0" xfId="0" quotePrefix="1" applyFont="1" applyAlignment="1" applyProtection="1">
      <alignment horizontal="center"/>
    </xf>
    <xf numFmtId="0" fontId="9" fillId="0" borderId="0" xfId="0" applyFont="1" applyFill="1" applyProtection="1"/>
    <xf numFmtId="0" fontId="39" fillId="0" borderId="28" xfId="0" applyFont="1" applyFill="1" applyBorder="1" applyAlignment="1" applyProtection="1">
      <alignment horizontal="center"/>
    </xf>
    <xf numFmtId="169" fontId="7" fillId="0" borderId="29" xfId="549" applyFont="1" applyBorder="1" applyAlignment="1" applyProtection="1">
      <alignment horizontal="center"/>
    </xf>
    <xf numFmtId="169" fontId="7" fillId="0" borderId="29" xfId="549" quotePrefix="1" applyFont="1" applyBorder="1" applyAlignment="1" applyProtection="1">
      <alignment horizontal="center"/>
    </xf>
    <xf numFmtId="3" fontId="7" fillId="0" borderId="30" xfId="549" applyNumberFormat="1" applyFont="1" applyBorder="1" applyAlignment="1" applyProtection="1">
      <alignment horizontal="center"/>
    </xf>
    <xf numFmtId="0" fontId="55" fillId="0" borderId="24" xfId="0" applyFont="1" applyBorder="1" applyProtection="1"/>
    <xf numFmtId="170" fontId="7" fillId="0" borderId="13" xfId="117" quotePrefix="1" applyNumberFormat="1" applyFont="1" applyBorder="1" applyAlignment="1" applyProtection="1">
      <alignment horizontal="right"/>
    </xf>
    <xf numFmtId="170" fontId="39" fillId="0" borderId="0" xfId="117" applyNumberFormat="1" applyFont="1" applyBorder="1" applyProtection="1"/>
    <xf numFmtId="170" fontId="7" fillId="0" borderId="14" xfId="0" applyNumberFormat="1" applyFont="1" applyBorder="1" applyProtection="1"/>
    <xf numFmtId="0" fontId="57" fillId="0" borderId="31" xfId="117" applyNumberFormat="1" applyFont="1" applyFill="1" applyBorder="1" applyAlignment="1" applyProtection="1">
      <alignment horizontal="left"/>
    </xf>
    <xf numFmtId="170" fontId="7" fillId="0" borderId="32" xfId="117" quotePrefix="1" applyNumberFormat="1" applyFont="1" applyBorder="1" applyAlignment="1" applyProtection="1">
      <alignment horizontal="right"/>
    </xf>
    <xf numFmtId="170" fontId="39" fillId="0" borderId="11" xfId="117" applyNumberFormat="1" applyFont="1" applyBorder="1" applyProtection="1"/>
    <xf numFmtId="170" fontId="7" fillId="0" borderId="20" xfId="0" applyNumberFormat="1" applyFont="1" applyBorder="1" applyProtection="1"/>
    <xf numFmtId="0" fontId="52" fillId="0" borderId="0" xfId="0" applyFont="1" applyAlignment="1" applyProtection="1">
      <alignment horizontal="left"/>
    </xf>
    <xf numFmtId="170" fontId="55" fillId="0" borderId="26" xfId="117" applyNumberFormat="1" applyFont="1" applyBorder="1" applyProtection="1"/>
    <xf numFmtId="0" fontId="7" fillId="0" borderId="15" xfId="0" quotePrefix="1" applyFont="1" applyBorder="1" applyAlignment="1" applyProtection="1">
      <alignment horizontal="right"/>
    </xf>
    <xf numFmtId="170" fontId="39" fillId="0" borderId="6" xfId="117" applyNumberFormat="1" applyFont="1" applyFill="1" applyBorder="1" applyAlignment="1" applyProtection="1">
      <alignment horizontal="left"/>
    </xf>
    <xf numFmtId="170" fontId="39" fillId="0" borderId="16" xfId="117" applyNumberFormat="1" applyFont="1" applyFill="1" applyBorder="1" applyAlignment="1" applyProtection="1">
      <alignment horizontal="left"/>
    </xf>
    <xf numFmtId="170" fontId="55" fillId="0" borderId="0" xfId="0" applyNumberFormat="1" applyFont="1" applyAlignment="1" applyProtection="1">
      <alignment horizontal="left"/>
    </xf>
    <xf numFmtId="0" fontId="7" fillId="0" borderId="21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0" fillId="0" borderId="0" xfId="0" applyFill="1" applyBorder="1" applyAlignment="1" applyProtection="1"/>
    <xf numFmtId="0" fontId="7" fillId="0" borderId="14" xfId="0" applyFont="1" applyFill="1" applyBorder="1" applyAlignment="1" applyProtection="1">
      <alignment horizontal="right"/>
    </xf>
    <xf numFmtId="170" fontId="7" fillId="0" borderId="14" xfId="117" applyNumberFormat="1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7" fillId="0" borderId="15" xfId="0" applyFont="1" applyBorder="1" applyProtection="1"/>
    <xf numFmtId="0" fontId="7" fillId="0" borderId="6" xfId="0" applyFont="1" applyBorder="1" applyAlignment="1" applyProtection="1">
      <alignment horizontal="center"/>
    </xf>
    <xf numFmtId="0" fontId="0" fillId="0" borderId="6" xfId="0" applyBorder="1" applyProtection="1"/>
    <xf numFmtId="0" fontId="39" fillId="0" borderId="24" xfId="0" applyFont="1" applyBorder="1" applyAlignment="1" applyProtection="1">
      <alignment horizontal="center" wrapText="1"/>
    </xf>
    <xf numFmtId="170" fontId="39" fillId="0" borderId="0" xfId="117" applyNumberFormat="1" applyFont="1" applyBorder="1" applyAlignment="1" applyProtection="1">
      <alignment horizontal="center" wrapText="1"/>
    </xf>
    <xf numFmtId="170" fontId="39" fillId="27" borderId="24" xfId="117" quotePrefix="1" applyNumberFormat="1" applyFont="1" applyFill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 wrapText="1"/>
    </xf>
    <xf numFmtId="0" fontId="39" fillId="0" borderId="6" xfId="0" applyFont="1" applyBorder="1" applyAlignment="1" applyProtection="1">
      <alignment horizontal="center"/>
    </xf>
    <xf numFmtId="170" fontId="39" fillId="27" borderId="26" xfId="117" applyNumberFormat="1" applyFont="1" applyFill="1" applyBorder="1" applyAlignment="1" applyProtection="1">
      <alignment horizontal="center"/>
    </xf>
    <xf numFmtId="170" fontId="54" fillId="27" borderId="24" xfId="0" applyNumberFormat="1" applyFont="1" applyFill="1" applyBorder="1" applyProtection="1"/>
    <xf numFmtId="168" fontId="54" fillId="27" borderId="25" xfId="117" applyNumberFormat="1" applyFont="1" applyFill="1" applyBorder="1" applyProtection="1"/>
    <xf numFmtId="168" fontId="54" fillId="27" borderId="14" xfId="117" applyNumberFormat="1" applyFont="1" applyFill="1" applyBorder="1" applyProtection="1"/>
    <xf numFmtId="171" fontId="54" fillId="29" borderId="25" xfId="0" applyNumberFormat="1" applyFont="1" applyFill="1" applyBorder="1" applyProtection="1"/>
    <xf numFmtId="171" fontId="7" fillId="29" borderId="25" xfId="0" applyNumberFormat="1" applyFont="1" applyFill="1" applyBorder="1" applyProtection="1"/>
    <xf numFmtId="170" fontId="7" fillId="0" borderId="14" xfId="117" applyNumberFormat="1" applyFont="1" applyFill="1" applyBorder="1" applyProtection="1"/>
    <xf numFmtId="170" fontId="7" fillId="0" borderId="6" xfId="0" applyNumberFormat="1" applyFont="1" applyBorder="1" applyProtection="1"/>
    <xf numFmtId="170" fontId="7" fillId="0" borderId="26" xfId="117" applyNumberFormat="1" applyFont="1" applyBorder="1" applyProtection="1"/>
    <xf numFmtId="170" fontId="7" fillId="0" borderId="16" xfId="117" applyNumberFormat="1" applyFont="1" applyFill="1" applyBorder="1" applyProtection="1"/>
    <xf numFmtId="0" fontId="55" fillId="0" borderId="0" xfId="0" applyFont="1" applyProtection="1"/>
    <xf numFmtId="0" fontId="58" fillId="0" borderId="0" xfId="0" applyFont="1" applyFill="1" applyProtection="1"/>
    <xf numFmtId="0" fontId="46" fillId="0" borderId="0" xfId="0" applyFont="1" applyAlignment="1" applyProtection="1">
      <alignment horizontal="center"/>
    </xf>
    <xf numFmtId="0" fontId="68" fillId="0" borderId="0" xfId="0" applyFont="1" applyProtection="1"/>
    <xf numFmtId="171" fontId="7" fillId="0" borderId="25" xfId="0" applyNumberFormat="1" applyFont="1" applyFill="1" applyBorder="1" applyProtection="1"/>
    <xf numFmtId="175" fontId="5" fillId="0" borderId="14" xfId="0" applyNumberFormat="1" applyFont="1" applyBorder="1" applyProtection="1"/>
    <xf numFmtId="176" fontId="7" fillId="0" borderId="14" xfId="117" applyNumberFormat="1" applyFont="1" applyBorder="1" applyProtection="1"/>
    <xf numFmtId="171" fontId="46" fillId="0" borderId="0" xfId="0" quotePrefix="1" applyNumberFormat="1" applyFont="1" applyBorder="1" applyAlignment="1" applyProtection="1">
      <alignment horizontal="center"/>
    </xf>
    <xf numFmtId="171" fontId="54" fillId="0" borderId="24" xfId="0" applyNumberFormat="1" applyFont="1" applyFill="1" applyBorder="1" applyProtection="1"/>
    <xf numFmtId="0" fontId="50" fillId="0" borderId="0" xfId="0" applyFont="1" applyProtection="1"/>
    <xf numFmtId="43" fontId="0" fillId="0" borderId="0" xfId="117" applyFont="1" applyProtection="1"/>
    <xf numFmtId="170" fontId="39" fillId="0" borderId="25" xfId="117" applyNumberFormat="1" applyFont="1" applyBorder="1" applyAlignment="1" applyProtection="1">
      <alignment horizontal="center"/>
    </xf>
    <xf numFmtId="170" fontId="54" fillId="27" borderId="0" xfId="0" quotePrefix="1" applyNumberFormat="1" applyFont="1" applyFill="1" applyBorder="1" applyAlignment="1" applyProtection="1">
      <alignment horizontal="left"/>
    </xf>
    <xf numFmtId="171" fontId="7" fillId="0" borderId="19" xfId="0" applyNumberFormat="1" applyFont="1" applyBorder="1" applyProtection="1"/>
    <xf numFmtId="0" fontId="39" fillId="0" borderId="13" xfId="0" applyFont="1" applyFill="1" applyBorder="1" applyAlignment="1" applyProtection="1">
      <alignment horizontal="center"/>
    </xf>
    <xf numFmtId="170" fontId="64" fillId="27" borderId="25" xfId="117" applyNumberFormat="1" applyFont="1" applyFill="1" applyBorder="1" applyProtection="1"/>
    <xf numFmtId="171" fontId="7" fillId="0" borderId="24" xfId="0" applyNumberFormat="1" applyFont="1" applyFill="1" applyBorder="1" applyProtection="1"/>
    <xf numFmtId="0" fontId="55" fillId="0" borderId="0" xfId="0" quotePrefix="1" applyFont="1" applyAlignment="1" applyProtection="1">
      <alignment horizontal="left"/>
    </xf>
    <xf numFmtId="0" fontId="52" fillId="0" borderId="0" xfId="0" applyFont="1" applyFill="1" applyAlignment="1" applyProtection="1">
      <alignment horizontal="left"/>
    </xf>
    <xf numFmtId="0" fontId="68" fillId="0" borderId="0" xfId="0" applyFont="1" applyAlignment="1" applyProtection="1">
      <alignment horizontal="center"/>
    </xf>
    <xf numFmtId="0" fontId="68" fillId="0" borderId="0" xfId="0" applyFont="1" applyFill="1" applyAlignment="1" applyProtection="1">
      <alignment horizontal="center"/>
    </xf>
    <xf numFmtId="171" fontId="54" fillId="29" borderId="24" xfId="0" applyNumberFormat="1" applyFont="1" applyFill="1" applyBorder="1" applyProtection="1"/>
    <xf numFmtId="171" fontId="7" fillId="29" borderId="24" xfId="0" applyNumberFormat="1" applyFont="1" applyFill="1" applyBorder="1" applyProtection="1"/>
    <xf numFmtId="0" fontId="84" fillId="0" borderId="0" xfId="549" applyNumberFormat="1" applyFont="1" applyFill="1" applyBorder="1" applyAlignment="1" applyProtection="1"/>
    <xf numFmtId="0" fontId="83" fillId="0" borderId="0" xfId="0" applyFont="1" applyAlignment="1" applyProtection="1">
      <alignment horizontal="left"/>
    </xf>
    <xf numFmtId="0" fontId="83" fillId="0" borderId="0" xfId="549" applyNumberFormat="1" applyFont="1" applyFill="1" applyBorder="1" applyAlignment="1" applyProtection="1"/>
    <xf numFmtId="0" fontId="61" fillId="28" borderId="22" xfId="0" quotePrefix="1" applyFont="1" applyFill="1" applyBorder="1" applyAlignment="1" applyProtection="1">
      <alignment horizontal="center"/>
    </xf>
    <xf numFmtId="170" fontId="54" fillId="27" borderId="13" xfId="0" applyNumberFormat="1" applyFont="1" applyFill="1" applyBorder="1" applyProtection="1"/>
    <xf numFmtId="171" fontId="7" fillId="0" borderId="13" xfId="0" applyNumberFormat="1" applyFont="1" applyBorder="1" applyProtection="1"/>
    <xf numFmtId="171" fontId="7" fillId="29" borderId="0" xfId="0" applyNumberFormat="1" applyFont="1" applyFill="1" applyBorder="1" applyProtection="1"/>
    <xf numFmtId="170" fontId="7" fillId="0" borderId="15" xfId="0" applyNumberFormat="1" applyFont="1" applyBorder="1" applyProtection="1"/>
    <xf numFmtId="0" fontId="7" fillId="0" borderId="22" xfId="0" applyFont="1" applyFill="1" applyBorder="1" applyAlignment="1" applyProtection="1">
      <alignment horizontal="left"/>
    </xf>
    <xf numFmtId="170" fontId="82" fillId="27" borderId="0" xfId="0" applyNumberFormat="1" applyFont="1" applyFill="1" applyBorder="1" applyProtection="1"/>
    <xf numFmtId="170" fontId="82" fillId="27" borderId="25" xfId="117" applyNumberFormat="1" applyFont="1" applyFill="1" applyBorder="1" applyProtection="1"/>
    <xf numFmtId="170" fontId="82" fillId="27" borderId="25" xfId="0" applyNumberFormat="1" applyFont="1" applyFill="1" applyBorder="1" applyProtection="1"/>
    <xf numFmtId="170" fontId="82" fillId="27" borderId="24" xfId="0" applyNumberFormat="1" applyFont="1" applyFill="1" applyBorder="1" applyProtection="1"/>
    <xf numFmtId="168" fontId="82" fillId="27" borderId="25" xfId="117" applyNumberFormat="1" applyFont="1" applyFill="1" applyBorder="1" applyProtection="1"/>
    <xf numFmtId="168" fontId="82" fillId="27" borderId="14" xfId="117" applyNumberFormat="1" applyFont="1" applyFill="1" applyBorder="1" applyProtection="1"/>
    <xf numFmtId="170" fontId="85" fillId="27" borderId="0" xfId="0" applyNumberFormat="1" applyFont="1" applyFill="1" applyBorder="1" applyProtection="1"/>
    <xf numFmtId="170" fontId="85" fillId="27" borderId="25" xfId="117" applyNumberFormat="1" applyFont="1" applyFill="1" applyBorder="1" applyProtection="1"/>
    <xf numFmtId="170" fontId="85" fillId="27" borderId="25" xfId="0" applyNumberFormat="1" applyFont="1" applyFill="1" applyBorder="1" applyProtection="1"/>
    <xf numFmtId="170" fontId="85" fillId="27" borderId="14" xfId="117" applyNumberFormat="1" applyFont="1" applyFill="1" applyBorder="1" applyProtection="1"/>
    <xf numFmtId="170" fontId="54" fillId="27" borderId="14" xfId="0" applyNumberFormat="1" applyFont="1" applyFill="1" applyBorder="1" applyProtection="1"/>
    <xf numFmtId="171" fontId="7" fillId="0" borderId="18" xfId="0" applyNumberFormat="1" applyFont="1" applyFill="1" applyBorder="1" applyProtection="1"/>
    <xf numFmtId="0" fontId="0" fillId="0" borderId="24" xfId="0" applyBorder="1" applyAlignment="1" applyProtection="1">
      <alignment horizontal="center"/>
    </xf>
    <xf numFmtId="43" fontId="77" fillId="27" borderId="24" xfId="117" applyFont="1" applyFill="1" applyBorder="1" applyAlignment="1" applyProtection="1">
      <alignment horizontal="right"/>
    </xf>
    <xf numFmtId="43" fontId="77" fillId="27" borderId="24" xfId="117" applyFont="1" applyFill="1" applyBorder="1" applyProtection="1"/>
    <xf numFmtId="43" fontId="1" fillId="27" borderId="24" xfId="117" applyFill="1" applyBorder="1" applyProtection="1"/>
    <xf numFmtId="43" fontId="0" fillId="0" borderId="24" xfId="117" applyFont="1" applyBorder="1" applyProtection="1"/>
    <xf numFmtId="43" fontId="77" fillId="27" borderId="25" xfId="117" applyFont="1" applyFill="1" applyBorder="1" applyAlignment="1" applyProtection="1">
      <alignment horizontal="center"/>
    </xf>
    <xf numFmtId="43" fontId="77" fillId="27" borderId="25" xfId="117" applyFont="1" applyFill="1" applyBorder="1" applyProtection="1"/>
    <xf numFmtId="43" fontId="1" fillId="27" borderId="25" xfId="117" applyFill="1" applyBorder="1" applyProtection="1"/>
    <xf numFmtId="43" fontId="0" fillId="0" borderId="25" xfId="117" applyFont="1" applyBorder="1" applyProtection="1"/>
    <xf numFmtId="0" fontId="52" fillId="27" borderId="0" xfId="0" applyFont="1" applyFill="1" applyAlignment="1" applyProtection="1">
      <alignment horizontal="left"/>
    </xf>
    <xf numFmtId="0" fontId="7" fillId="27" borderId="0" xfId="0" applyFont="1" applyFill="1" applyProtection="1"/>
    <xf numFmtId="170" fontId="82" fillId="27" borderId="24" xfId="117" applyNumberFormat="1" applyFont="1" applyFill="1" applyBorder="1" applyProtection="1"/>
    <xf numFmtId="170" fontId="82" fillId="27" borderId="14" xfId="117" applyNumberFormat="1" applyFont="1" applyFill="1" applyBorder="1" applyProtection="1"/>
    <xf numFmtId="171" fontId="7" fillId="0" borderId="0" xfId="0" applyNumberFormat="1" applyFont="1" applyFill="1" applyBorder="1" applyProtection="1"/>
    <xf numFmtId="170" fontId="7" fillId="0" borderId="14" xfId="117" quotePrefix="1" applyNumberFormat="1" applyFont="1" applyFill="1" applyBorder="1" applyAlignment="1" applyProtection="1">
      <alignment horizontal="right"/>
    </xf>
    <xf numFmtId="170" fontId="85" fillId="27" borderId="24" xfId="0" applyNumberFormat="1" applyFont="1" applyFill="1" applyBorder="1" applyProtection="1"/>
    <xf numFmtId="168" fontId="85" fillId="27" borderId="25" xfId="117" applyNumberFormat="1" applyFont="1" applyFill="1" applyBorder="1" applyProtection="1"/>
    <xf numFmtId="168" fontId="85" fillId="27" borderId="14" xfId="117" applyNumberFormat="1" applyFont="1" applyFill="1" applyBorder="1" applyProtection="1"/>
    <xf numFmtId="170" fontId="85" fillId="27" borderId="24" xfId="117" applyNumberFormat="1" applyFont="1" applyFill="1" applyBorder="1" applyProtection="1"/>
    <xf numFmtId="170" fontId="85" fillId="27" borderId="14" xfId="117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70" fontId="7" fillId="0" borderId="0" xfId="0" applyNumberFormat="1" applyFont="1" applyAlignment="1" applyProtection="1">
      <alignment horizontal="left"/>
    </xf>
    <xf numFmtId="170" fontId="7" fillId="0" borderId="26" xfId="0" applyNumberFormat="1" applyFont="1" applyFill="1" applyBorder="1" applyProtection="1"/>
    <xf numFmtId="170" fontId="54" fillId="0" borderId="26" xfId="117" applyNumberFormat="1" applyFont="1" applyFill="1" applyBorder="1" applyProtection="1"/>
    <xf numFmtId="170" fontId="54" fillId="0" borderId="16" xfId="117" applyNumberFormat="1" applyFont="1" applyFill="1" applyBorder="1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4" fillId="27" borderId="0" xfId="0" applyFont="1" applyFill="1" applyAlignment="1">
      <alignment horizontal="left"/>
    </xf>
    <xf numFmtId="0" fontId="0" fillId="0" borderId="0" xfId="0" applyAlignment="1" applyProtection="1">
      <alignment vertical="center" wrapText="1"/>
    </xf>
    <xf numFmtId="0" fontId="54" fillId="27" borderId="0" xfId="0" applyFont="1" applyFill="1" applyAlignment="1" applyProtection="1">
      <alignment horizontal="left"/>
    </xf>
    <xf numFmtId="0" fontId="1" fillId="0" borderId="22" xfId="0" applyFont="1" applyFill="1" applyBorder="1" applyAlignment="1" applyProtection="1">
      <alignment horizontal="left"/>
    </xf>
    <xf numFmtId="170" fontId="1" fillId="61" borderId="0" xfId="0" applyNumberFormat="1" applyFont="1" applyFill="1" applyBorder="1" applyProtection="1"/>
    <xf numFmtId="170" fontId="1" fillId="61" borderId="24" xfId="117" applyNumberFormat="1" applyFont="1" applyFill="1" applyBorder="1" applyProtection="1"/>
    <xf numFmtId="170" fontId="1" fillId="61" borderId="25" xfId="0" applyNumberFormat="1" applyFont="1" applyFill="1" applyBorder="1" applyProtection="1"/>
    <xf numFmtId="170" fontId="1" fillId="61" borderId="14" xfId="117" applyNumberFormat="1" applyFont="1" applyFill="1" applyBorder="1" applyProtection="1"/>
    <xf numFmtId="170" fontId="122" fillId="61" borderId="0" xfId="0" applyNumberFormat="1" applyFont="1" applyFill="1" applyBorder="1" applyProtection="1"/>
    <xf numFmtId="170" fontId="122" fillId="61" borderId="25" xfId="117" applyNumberFormat="1" applyFont="1" applyFill="1" applyBorder="1" applyProtection="1"/>
    <xf numFmtId="170" fontId="122" fillId="61" borderId="14" xfId="117" applyNumberFormat="1" applyFont="1" applyFill="1" applyBorder="1" applyProtection="1"/>
    <xf numFmtId="0" fontId="0" fillId="0" borderId="0" xfId="0" applyAlignment="1" applyProtection="1">
      <alignment vertical="center" wrapText="1"/>
    </xf>
    <xf numFmtId="171" fontId="1" fillId="0" borderId="25" xfId="0" applyNumberFormat="1" applyFont="1" applyBorder="1" applyProtection="1"/>
    <xf numFmtId="177" fontId="1" fillId="0" borderId="0" xfId="117" applyNumberFormat="1" applyAlignment="1" applyProtection="1">
      <alignment vertical="center"/>
    </xf>
    <xf numFmtId="170" fontId="121" fillId="62" borderId="42" xfId="0" applyNumberFormat="1" applyFont="1" applyFill="1" applyBorder="1" applyProtection="1"/>
    <xf numFmtId="170" fontId="54" fillId="62" borderId="41" xfId="0" applyNumberFormat="1" applyFont="1" applyFill="1" applyBorder="1" applyProtection="1"/>
    <xf numFmtId="170" fontId="54" fillId="62" borderId="42" xfId="0" applyNumberFormat="1" applyFont="1" applyFill="1" applyBorder="1" applyProtection="1"/>
    <xf numFmtId="0" fontId="39" fillId="0" borderId="11" xfId="0" applyFont="1" applyBorder="1" applyAlignment="1" applyProtection="1">
      <alignment horizontal="center"/>
    </xf>
    <xf numFmtId="0" fontId="65" fillId="0" borderId="0" xfId="0" applyFont="1" applyFill="1" applyBorder="1" applyAlignment="1" applyProtection="1">
      <alignment horizontal="center" wrapText="1"/>
    </xf>
    <xf numFmtId="169" fontId="7" fillId="0" borderId="17" xfId="549" applyFont="1" applyBorder="1" applyAlignment="1" applyProtection="1">
      <alignment wrapText="1"/>
    </xf>
    <xf numFmtId="0" fontId="7" fillId="0" borderId="18" xfId="0" applyFont="1" applyBorder="1" applyAlignment="1" applyProtection="1">
      <alignment wrapText="1"/>
    </xf>
    <xf numFmtId="0" fontId="7" fillId="0" borderId="19" xfId="0" applyFont="1" applyBorder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46" fillId="0" borderId="0" xfId="0" applyNumberFormat="1" applyFont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46" fillId="0" borderId="0" xfId="490" applyFont="1" applyBorder="1" applyAlignment="1" applyProtection="1">
      <alignment horizontal="center"/>
    </xf>
    <xf numFmtId="0" fontId="6" fillId="0" borderId="0" xfId="490" quotePrefix="1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6" fillId="0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6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</cellXfs>
  <cellStyles count="73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2" xfId="4" builtinId="34" customBuiltin="1"/>
    <cellStyle name="20% - Accent2 2" xfId="5" xr:uid="{00000000-0005-0000-0000-000004000000}"/>
    <cellStyle name="20% - Accent2 2 2" xfId="6" xr:uid="{00000000-0005-0000-0000-000005000000}"/>
    <cellStyle name="20% - Accent3" xfId="7" builtinId="38" customBuiltin="1"/>
    <cellStyle name="20% - Accent3 2" xfId="8" xr:uid="{00000000-0005-0000-0000-000007000000}"/>
    <cellStyle name="20% - Accent3 2 2" xfId="9" xr:uid="{00000000-0005-0000-0000-000008000000}"/>
    <cellStyle name="20% - Accent4" xfId="10" builtinId="42" customBuiltin="1"/>
    <cellStyle name="20% - Accent4 2" xfId="11" xr:uid="{00000000-0005-0000-0000-00000A000000}"/>
    <cellStyle name="20% - Accent4 2 2" xfId="12" xr:uid="{00000000-0005-0000-0000-00000B000000}"/>
    <cellStyle name="20% - Accent5" xfId="13" builtinId="46" customBuiltin="1"/>
    <cellStyle name="20% - Accent5 2" xfId="14" xr:uid="{00000000-0005-0000-0000-00000D000000}"/>
    <cellStyle name="20% - Accent5 2 2" xfId="15" xr:uid="{00000000-0005-0000-0000-00000E000000}"/>
    <cellStyle name="20% - Accent6" xfId="16" builtinId="50" customBuiltin="1"/>
    <cellStyle name="20% - Accent6 2" xfId="17" xr:uid="{00000000-0005-0000-0000-000010000000}"/>
    <cellStyle name="20% - Accent6 2 2" xfId="18" xr:uid="{00000000-0005-0000-0000-000011000000}"/>
    <cellStyle name="40% - Accent1" xfId="19" builtinId="31" customBuiltin="1"/>
    <cellStyle name="40% - Accent1 2" xfId="20" xr:uid="{00000000-0005-0000-0000-000013000000}"/>
    <cellStyle name="40% - Accent1 2 2" xfId="21" xr:uid="{00000000-0005-0000-0000-000014000000}"/>
    <cellStyle name="40% - Accent2" xfId="22" builtinId="35" customBuiltin="1"/>
    <cellStyle name="40% - Accent2 2" xfId="23" xr:uid="{00000000-0005-0000-0000-000016000000}"/>
    <cellStyle name="40% - Accent2 2 2" xfId="24" xr:uid="{00000000-0005-0000-0000-000017000000}"/>
    <cellStyle name="40% - Accent3" xfId="25" builtinId="39" customBuiltin="1"/>
    <cellStyle name="40% - Accent3 2" xfId="26" xr:uid="{00000000-0005-0000-0000-000019000000}"/>
    <cellStyle name="40% - Accent3 2 2" xfId="27" xr:uid="{00000000-0005-0000-0000-00001A000000}"/>
    <cellStyle name="40% - Accent4" xfId="28" builtinId="43" customBuiltin="1"/>
    <cellStyle name="40% - Accent4 2" xfId="29" xr:uid="{00000000-0005-0000-0000-00001C000000}"/>
    <cellStyle name="40% - Accent4 2 2" xfId="30" xr:uid="{00000000-0005-0000-0000-00001D000000}"/>
    <cellStyle name="40% - Accent5" xfId="31" builtinId="47" customBuiltin="1"/>
    <cellStyle name="40% - Accent5 2" xfId="32" xr:uid="{00000000-0005-0000-0000-00001F000000}"/>
    <cellStyle name="40% - Accent5 2 2" xfId="33" xr:uid="{00000000-0005-0000-0000-000020000000}"/>
    <cellStyle name="40% - Accent6" xfId="34" builtinId="51" customBuiltin="1"/>
    <cellStyle name="40% - Accent6 2" xfId="35" xr:uid="{00000000-0005-0000-0000-000022000000}"/>
    <cellStyle name="40% - Accent6 2 2" xfId="36" xr:uid="{00000000-0005-0000-0000-000023000000}"/>
    <cellStyle name="60% - Accent1" xfId="37" builtinId="32" customBuiltin="1"/>
    <cellStyle name="60% - Accent1 2" xfId="38" xr:uid="{00000000-0005-0000-0000-000025000000}"/>
    <cellStyle name="60% - Accent1 2 2" xfId="39" xr:uid="{00000000-0005-0000-0000-000026000000}"/>
    <cellStyle name="60% - Accent2" xfId="40" builtinId="36" customBuiltin="1"/>
    <cellStyle name="60% - Accent2 2" xfId="41" xr:uid="{00000000-0005-0000-0000-000028000000}"/>
    <cellStyle name="60% - Accent2 2 2" xfId="42" xr:uid="{00000000-0005-0000-0000-000029000000}"/>
    <cellStyle name="60% - Accent3" xfId="43" builtinId="40" customBuiltin="1"/>
    <cellStyle name="60% - Accent3 2" xfId="44" xr:uid="{00000000-0005-0000-0000-00002B000000}"/>
    <cellStyle name="60% - Accent3 2 2" xfId="45" xr:uid="{00000000-0005-0000-0000-00002C000000}"/>
    <cellStyle name="60% - Accent4" xfId="46" builtinId="44" customBuiltin="1"/>
    <cellStyle name="60% - Accent4 2" xfId="47" xr:uid="{00000000-0005-0000-0000-00002E000000}"/>
    <cellStyle name="60% - Accent4 2 2" xfId="48" xr:uid="{00000000-0005-0000-0000-00002F000000}"/>
    <cellStyle name="60% - Accent5" xfId="49" builtinId="48" customBuiltin="1"/>
    <cellStyle name="60% - Accent5 2" xfId="50" xr:uid="{00000000-0005-0000-0000-000031000000}"/>
    <cellStyle name="60% - Accent5 2 2" xfId="51" xr:uid="{00000000-0005-0000-0000-000032000000}"/>
    <cellStyle name="60% - Accent6" xfId="52" builtinId="52" customBuiltin="1"/>
    <cellStyle name="60% - Accent6 2" xfId="53" xr:uid="{00000000-0005-0000-0000-000034000000}"/>
    <cellStyle name="60% - Accent6 2 2" xfId="54" xr:uid="{00000000-0005-0000-0000-000035000000}"/>
    <cellStyle name="Accent1" xfId="55" builtinId="29" customBuiltin="1"/>
    <cellStyle name="Accent1 2" xfId="56" xr:uid="{00000000-0005-0000-0000-000037000000}"/>
    <cellStyle name="Accent1 2 2" xfId="57" xr:uid="{00000000-0005-0000-0000-000038000000}"/>
    <cellStyle name="Accent2" xfId="58" builtinId="33" customBuiltin="1"/>
    <cellStyle name="Accent2 2" xfId="59" xr:uid="{00000000-0005-0000-0000-00003A000000}"/>
    <cellStyle name="Accent2 2 2" xfId="60" xr:uid="{00000000-0005-0000-0000-00003B000000}"/>
    <cellStyle name="Accent3" xfId="61" builtinId="37" customBuiltin="1"/>
    <cellStyle name="Accent3 2" xfId="62" xr:uid="{00000000-0005-0000-0000-00003D000000}"/>
    <cellStyle name="Accent3 2 2" xfId="63" xr:uid="{00000000-0005-0000-0000-00003E000000}"/>
    <cellStyle name="Accent4" xfId="64" builtinId="41" customBuiltin="1"/>
    <cellStyle name="Accent4 2" xfId="65" xr:uid="{00000000-0005-0000-0000-000040000000}"/>
    <cellStyle name="Accent4 2 2" xfId="66" xr:uid="{00000000-0005-0000-0000-000041000000}"/>
    <cellStyle name="Accent5" xfId="67" builtinId="45" customBuiltin="1"/>
    <cellStyle name="Accent5 2" xfId="68" xr:uid="{00000000-0005-0000-0000-000043000000}"/>
    <cellStyle name="Accent5 2 2" xfId="69" xr:uid="{00000000-0005-0000-0000-000044000000}"/>
    <cellStyle name="Accent6" xfId="70" builtinId="49" customBuiltin="1"/>
    <cellStyle name="Accent6 2" xfId="71" xr:uid="{00000000-0005-0000-0000-000046000000}"/>
    <cellStyle name="Accent6 2 2" xfId="72" xr:uid="{00000000-0005-0000-0000-000047000000}"/>
    <cellStyle name="Bad" xfId="73" builtinId="27" customBuiltin="1"/>
    <cellStyle name="Bad 2" xfId="74" xr:uid="{00000000-0005-0000-0000-000049000000}"/>
    <cellStyle name="Bad 2 2" xfId="75" xr:uid="{00000000-0005-0000-0000-00004A000000}"/>
    <cellStyle name="C00A" xfId="76" xr:uid="{00000000-0005-0000-0000-00004B000000}"/>
    <cellStyle name="C00B" xfId="77" xr:uid="{00000000-0005-0000-0000-00004C000000}"/>
    <cellStyle name="C00L" xfId="78" xr:uid="{00000000-0005-0000-0000-00004D000000}"/>
    <cellStyle name="C01A" xfId="79" xr:uid="{00000000-0005-0000-0000-00004E000000}"/>
    <cellStyle name="C01B" xfId="80" xr:uid="{00000000-0005-0000-0000-00004F000000}"/>
    <cellStyle name="C01B 2" xfId="81" xr:uid="{00000000-0005-0000-0000-000050000000}"/>
    <cellStyle name="C01H" xfId="82" xr:uid="{00000000-0005-0000-0000-000051000000}"/>
    <cellStyle name="C01L" xfId="83" xr:uid="{00000000-0005-0000-0000-000052000000}"/>
    <cellStyle name="C02A" xfId="84" xr:uid="{00000000-0005-0000-0000-000053000000}"/>
    <cellStyle name="C02B" xfId="85" xr:uid="{00000000-0005-0000-0000-000054000000}"/>
    <cellStyle name="C02B 2" xfId="86" xr:uid="{00000000-0005-0000-0000-000055000000}"/>
    <cellStyle name="C02H" xfId="87" xr:uid="{00000000-0005-0000-0000-000056000000}"/>
    <cellStyle name="C02L" xfId="88" xr:uid="{00000000-0005-0000-0000-000057000000}"/>
    <cellStyle name="C03A" xfId="89" xr:uid="{00000000-0005-0000-0000-000058000000}"/>
    <cellStyle name="C03B" xfId="90" xr:uid="{00000000-0005-0000-0000-000059000000}"/>
    <cellStyle name="C03H" xfId="91" xr:uid="{00000000-0005-0000-0000-00005A000000}"/>
    <cellStyle name="C03L" xfId="92" xr:uid="{00000000-0005-0000-0000-00005B000000}"/>
    <cellStyle name="C04A" xfId="93" xr:uid="{00000000-0005-0000-0000-00005C000000}"/>
    <cellStyle name="C04A 2" xfId="94" xr:uid="{00000000-0005-0000-0000-00005D000000}"/>
    <cellStyle name="C04B" xfId="95" xr:uid="{00000000-0005-0000-0000-00005E000000}"/>
    <cellStyle name="C04H" xfId="96" xr:uid="{00000000-0005-0000-0000-00005F000000}"/>
    <cellStyle name="C04L" xfId="97" xr:uid="{00000000-0005-0000-0000-000060000000}"/>
    <cellStyle name="C05A" xfId="98" xr:uid="{00000000-0005-0000-0000-000061000000}"/>
    <cellStyle name="C05B" xfId="99" xr:uid="{00000000-0005-0000-0000-000062000000}"/>
    <cellStyle name="C05H" xfId="100" xr:uid="{00000000-0005-0000-0000-000063000000}"/>
    <cellStyle name="C05L" xfId="101" xr:uid="{00000000-0005-0000-0000-000064000000}"/>
    <cellStyle name="C05L 2" xfId="102" xr:uid="{00000000-0005-0000-0000-000065000000}"/>
    <cellStyle name="C06A" xfId="103" xr:uid="{00000000-0005-0000-0000-000066000000}"/>
    <cellStyle name="C06B" xfId="104" xr:uid="{00000000-0005-0000-0000-000067000000}"/>
    <cellStyle name="C06H" xfId="105" xr:uid="{00000000-0005-0000-0000-000068000000}"/>
    <cellStyle name="C06L" xfId="106" xr:uid="{00000000-0005-0000-0000-000069000000}"/>
    <cellStyle name="C07A" xfId="107" xr:uid="{00000000-0005-0000-0000-00006A000000}"/>
    <cellStyle name="C07B" xfId="108" xr:uid="{00000000-0005-0000-0000-00006B000000}"/>
    <cellStyle name="C07H" xfId="109" xr:uid="{00000000-0005-0000-0000-00006C000000}"/>
    <cellStyle name="C07L" xfId="110" xr:uid="{00000000-0005-0000-0000-00006D000000}"/>
    <cellStyle name="Calculation" xfId="111" builtinId="22" customBuiltin="1"/>
    <cellStyle name="Calculation 2" xfId="112" xr:uid="{00000000-0005-0000-0000-00006F000000}"/>
    <cellStyle name="Calculation 2 2" xfId="113" xr:uid="{00000000-0005-0000-0000-000070000000}"/>
    <cellStyle name="Check Cell" xfId="114" builtinId="23" customBuiltin="1"/>
    <cellStyle name="Check Cell 2" xfId="115" xr:uid="{00000000-0005-0000-0000-000072000000}"/>
    <cellStyle name="Check Cell 2 2" xfId="116" xr:uid="{00000000-0005-0000-0000-000073000000}"/>
    <cellStyle name="Comma" xfId="117" builtinId="3"/>
    <cellStyle name="Comma [0] 2" xfId="118" xr:uid="{00000000-0005-0000-0000-000075000000}"/>
    <cellStyle name="Comma [0] 2 2" xfId="119" xr:uid="{00000000-0005-0000-0000-000076000000}"/>
    <cellStyle name="Comma 10" xfId="120" xr:uid="{00000000-0005-0000-0000-000077000000}"/>
    <cellStyle name="Comma 11" xfId="121" xr:uid="{00000000-0005-0000-0000-000078000000}"/>
    <cellStyle name="Comma 12" xfId="122" xr:uid="{00000000-0005-0000-0000-000079000000}"/>
    <cellStyle name="Comma 13" xfId="123" xr:uid="{00000000-0005-0000-0000-00007A000000}"/>
    <cellStyle name="Comma 14" xfId="124" xr:uid="{00000000-0005-0000-0000-00007B000000}"/>
    <cellStyle name="Comma 15" xfId="125" xr:uid="{00000000-0005-0000-0000-00007C000000}"/>
    <cellStyle name="Comma 16" xfId="126" xr:uid="{00000000-0005-0000-0000-00007D000000}"/>
    <cellStyle name="Comma 17" xfId="127" xr:uid="{00000000-0005-0000-0000-00007E000000}"/>
    <cellStyle name="Comma 18" xfId="128" xr:uid="{00000000-0005-0000-0000-00007F000000}"/>
    <cellStyle name="Comma 19" xfId="129" xr:uid="{00000000-0005-0000-0000-000080000000}"/>
    <cellStyle name="Comma 2" xfId="130" xr:uid="{00000000-0005-0000-0000-000081000000}"/>
    <cellStyle name="Comma 2 2" xfId="131" xr:uid="{00000000-0005-0000-0000-000082000000}"/>
    <cellStyle name="Comma 2 2 2" xfId="132" xr:uid="{00000000-0005-0000-0000-000083000000}"/>
    <cellStyle name="Comma 2 3" xfId="133" xr:uid="{00000000-0005-0000-0000-000084000000}"/>
    <cellStyle name="Comma 2 3 2" xfId="134" xr:uid="{00000000-0005-0000-0000-000085000000}"/>
    <cellStyle name="Comma 2 3 3" xfId="135" xr:uid="{00000000-0005-0000-0000-000086000000}"/>
    <cellStyle name="Comma 2 3 4" xfId="136" xr:uid="{00000000-0005-0000-0000-000087000000}"/>
    <cellStyle name="Comma 2 4" xfId="137" xr:uid="{00000000-0005-0000-0000-000088000000}"/>
    <cellStyle name="Comma 20" xfId="138" xr:uid="{00000000-0005-0000-0000-000089000000}"/>
    <cellStyle name="Comma 21" xfId="139" xr:uid="{00000000-0005-0000-0000-00008A000000}"/>
    <cellStyle name="Comma 22" xfId="140" xr:uid="{00000000-0005-0000-0000-00008B000000}"/>
    <cellStyle name="Comma 23" xfId="141" xr:uid="{00000000-0005-0000-0000-00008C000000}"/>
    <cellStyle name="Comma 24" xfId="142" xr:uid="{00000000-0005-0000-0000-00008D000000}"/>
    <cellStyle name="Comma 25" xfId="143" xr:uid="{00000000-0005-0000-0000-00008E000000}"/>
    <cellStyle name="Comma 25 2" xfId="144" xr:uid="{00000000-0005-0000-0000-00008F000000}"/>
    <cellStyle name="Comma 26" xfId="145" xr:uid="{00000000-0005-0000-0000-000090000000}"/>
    <cellStyle name="Comma 26 2" xfId="146" xr:uid="{00000000-0005-0000-0000-000091000000}"/>
    <cellStyle name="Comma 27" xfId="147" xr:uid="{00000000-0005-0000-0000-000092000000}"/>
    <cellStyle name="Comma 27 2" xfId="148" xr:uid="{00000000-0005-0000-0000-000093000000}"/>
    <cellStyle name="Comma 28" xfId="149" xr:uid="{00000000-0005-0000-0000-000094000000}"/>
    <cellStyle name="Comma 28 2" xfId="150" xr:uid="{00000000-0005-0000-0000-000095000000}"/>
    <cellStyle name="Comma 29" xfId="151" xr:uid="{00000000-0005-0000-0000-000096000000}"/>
    <cellStyle name="Comma 29 2" xfId="152" xr:uid="{00000000-0005-0000-0000-000097000000}"/>
    <cellStyle name="Comma 3" xfId="153" xr:uid="{00000000-0005-0000-0000-000098000000}"/>
    <cellStyle name="Comma 3 2" xfId="154" xr:uid="{00000000-0005-0000-0000-000099000000}"/>
    <cellStyle name="Comma 3 2 2" xfId="155" xr:uid="{00000000-0005-0000-0000-00009A000000}"/>
    <cellStyle name="Comma 3 3" xfId="156" xr:uid="{00000000-0005-0000-0000-00009B000000}"/>
    <cellStyle name="Comma 3 3 2" xfId="157" xr:uid="{00000000-0005-0000-0000-00009C000000}"/>
    <cellStyle name="Comma 3 3 2 2" xfId="158" xr:uid="{00000000-0005-0000-0000-00009D000000}"/>
    <cellStyle name="Comma 3 3 2 3" xfId="159" xr:uid="{00000000-0005-0000-0000-00009E000000}"/>
    <cellStyle name="Comma 3 3 3" xfId="160" xr:uid="{00000000-0005-0000-0000-00009F000000}"/>
    <cellStyle name="Comma 3 3 3 2" xfId="161" xr:uid="{00000000-0005-0000-0000-0000A0000000}"/>
    <cellStyle name="Comma 3 3 3 2 2" xfId="162" xr:uid="{00000000-0005-0000-0000-0000A1000000}"/>
    <cellStyle name="Comma 3 3 3 2 3" xfId="163" xr:uid="{00000000-0005-0000-0000-0000A2000000}"/>
    <cellStyle name="Comma 3 3 3 2 4" xfId="164" xr:uid="{00000000-0005-0000-0000-0000A3000000}"/>
    <cellStyle name="Comma 3 3 3 3" xfId="165" xr:uid="{00000000-0005-0000-0000-0000A4000000}"/>
    <cellStyle name="Comma 3 3 4" xfId="166" xr:uid="{00000000-0005-0000-0000-0000A5000000}"/>
    <cellStyle name="Comma 3 3 5" xfId="167" xr:uid="{00000000-0005-0000-0000-0000A6000000}"/>
    <cellStyle name="Comma 3 3 5 2" xfId="168" xr:uid="{00000000-0005-0000-0000-0000A7000000}"/>
    <cellStyle name="Comma 3 3 5 3" xfId="169" xr:uid="{00000000-0005-0000-0000-0000A8000000}"/>
    <cellStyle name="Comma 3 3 5 4" xfId="170" xr:uid="{00000000-0005-0000-0000-0000A9000000}"/>
    <cellStyle name="Comma 3 4" xfId="171" xr:uid="{00000000-0005-0000-0000-0000AA000000}"/>
    <cellStyle name="Comma 3 4 2" xfId="172" xr:uid="{00000000-0005-0000-0000-0000AB000000}"/>
    <cellStyle name="Comma 3 4 3" xfId="173" xr:uid="{00000000-0005-0000-0000-0000AC000000}"/>
    <cellStyle name="Comma 3 4 4" xfId="174" xr:uid="{00000000-0005-0000-0000-0000AD000000}"/>
    <cellStyle name="Comma 3 4 4 2" xfId="175" xr:uid="{00000000-0005-0000-0000-0000AE000000}"/>
    <cellStyle name="Comma 3 4 4 3" xfId="176" xr:uid="{00000000-0005-0000-0000-0000AF000000}"/>
    <cellStyle name="Comma 3 4 4 4" xfId="177" xr:uid="{00000000-0005-0000-0000-0000B0000000}"/>
    <cellStyle name="Comma 3 4 5" xfId="178" xr:uid="{00000000-0005-0000-0000-0000B1000000}"/>
    <cellStyle name="Comma 3 5" xfId="179" xr:uid="{00000000-0005-0000-0000-0000B2000000}"/>
    <cellStyle name="Comma 3 5 2" xfId="180" xr:uid="{00000000-0005-0000-0000-0000B3000000}"/>
    <cellStyle name="Comma 3 6" xfId="181" xr:uid="{00000000-0005-0000-0000-0000B4000000}"/>
    <cellStyle name="Comma 3 7" xfId="182" xr:uid="{00000000-0005-0000-0000-0000B5000000}"/>
    <cellStyle name="Comma 3 8" xfId="183" xr:uid="{00000000-0005-0000-0000-0000B6000000}"/>
    <cellStyle name="Comma 30" xfId="184" xr:uid="{00000000-0005-0000-0000-0000B7000000}"/>
    <cellStyle name="Comma 31" xfId="185" xr:uid="{00000000-0005-0000-0000-0000B8000000}"/>
    <cellStyle name="Comma 32" xfId="186" xr:uid="{00000000-0005-0000-0000-0000B9000000}"/>
    <cellStyle name="Comma 33" xfId="187" xr:uid="{00000000-0005-0000-0000-0000BA000000}"/>
    <cellStyle name="Comma 34" xfId="188" xr:uid="{00000000-0005-0000-0000-0000BB000000}"/>
    <cellStyle name="Comma 35" xfId="189" xr:uid="{00000000-0005-0000-0000-0000BC000000}"/>
    <cellStyle name="Comma 36" xfId="190" xr:uid="{00000000-0005-0000-0000-0000BD000000}"/>
    <cellStyle name="Comma 37" xfId="191" xr:uid="{00000000-0005-0000-0000-0000BE000000}"/>
    <cellStyle name="Comma 38" xfId="192" xr:uid="{00000000-0005-0000-0000-0000BF000000}"/>
    <cellStyle name="Comma 39" xfId="193" xr:uid="{00000000-0005-0000-0000-0000C0000000}"/>
    <cellStyle name="Comma 4" xfId="194" xr:uid="{00000000-0005-0000-0000-0000C1000000}"/>
    <cellStyle name="Comma 4 2" xfId="195" xr:uid="{00000000-0005-0000-0000-0000C2000000}"/>
    <cellStyle name="Comma 4 2 2" xfId="196" xr:uid="{00000000-0005-0000-0000-0000C3000000}"/>
    <cellStyle name="Comma 4 2 2 2" xfId="197" xr:uid="{00000000-0005-0000-0000-0000C4000000}"/>
    <cellStyle name="Comma 4 2 2 3" xfId="198" xr:uid="{00000000-0005-0000-0000-0000C5000000}"/>
    <cellStyle name="Comma 4 2 2 4" xfId="199" xr:uid="{00000000-0005-0000-0000-0000C6000000}"/>
    <cellStyle name="Comma 4 2 3" xfId="200" xr:uid="{00000000-0005-0000-0000-0000C7000000}"/>
    <cellStyle name="Comma 4 2 3 2" xfId="201" xr:uid="{00000000-0005-0000-0000-0000C8000000}"/>
    <cellStyle name="Comma 4 2 3 2 2" xfId="202" xr:uid="{00000000-0005-0000-0000-0000C9000000}"/>
    <cellStyle name="Comma 4 2 3 3" xfId="203" xr:uid="{00000000-0005-0000-0000-0000CA000000}"/>
    <cellStyle name="Comma 4 2 3 3 2" xfId="204" xr:uid="{00000000-0005-0000-0000-0000CB000000}"/>
    <cellStyle name="Comma 4 2 3 4" xfId="205" xr:uid="{00000000-0005-0000-0000-0000CC000000}"/>
    <cellStyle name="Comma 4 2 4" xfId="206" xr:uid="{00000000-0005-0000-0000-0000CD000000}"/>
    <cellStyle name="Comma 4 2 4 2" xfId="207" xr:uid="{00000000-0005-0000-0000-0000CE000000}"/>
    <cellStyle name="Comma 4 2 4 3" xfId="208" xr:uid="{00000000-0005-0000-0000-0000CF000000}"/>
    <cellStyle name="Comma 4 2 4 4" xfId="209" xr:uid="{00000000-0005-0000-0000-0000D0000000}"/>
    <cellStyle name="Comma 4 2 5" xfId="210" xr:uid="{00000000-0005-0000-0000-0000D1000000}"/>
    <cellStyle name="Comma 4 3" xfId="211" xr:uid="{00000000-0005-0000-0000-0000D2000000}"/>
    <cellStyle name="Comma 4 3 2" xfId="212" xr:uid="{00000000-0005-0000-0000-0000D3000000}"/>
    <cellStyle name="Comma 4 3 2 2" xfId="213" xr:uid="{00000000-0005-0000-0000-0000D4000000}"/>
    <cellStyle name="Comma 4 3 2 2 2" xfId="214" xr:uid="{00000000-0005-0000-0000-0000D5000000}"/>
    <cellStyle name="Comma 4 3 2 3" xfId="215" xr:uid="{00000000-0005-0000-0000-0000D6000000}"/>
    <cellStyle name="Comma 4 3 2 3 2" xfId="216" xr:uid="{00000000-0005-0000-0000-0000D7000000}"/>
    <cellStyle name="Comma 4 3 2 4" xfId="217" xr:uid="{00000000-0005-0000-0000-0000D8000000}"/>
    <cellStyle name="Comma 4 3 3" xfId="218" xr:uid="{00000000-0005-0000-0000-0000D9000000}"/>
    <cellStyle name="Comma 4 3 4" xfId="219" xr:uid="{00000000-0005-0000-0000-0000DA000000}"/>
    <cellStyle name="Comma 4 3 4 2" xfId="220" xr:uid="{00000000-0005-0000-0000-0000DB000000}"/>
    <cellStyle name="Comma 4 3 4 3" xfId="221" xr:uid="{00000000-0005-0000-0000-0000DC000000}"/>
    <cellStyle name="Comma 4 3 5" xfId="222" xr:uid="{00000000-0005-0000-0000-0000DD000000}"/>
    <cellStyle name="Comma 4 3 5 2" xfId="223" xr:uid="{00000000-0005-0000-0000-0000DE000000}"/>
    <cellStyle name="Comma 4 3 6" xfId="224" xr:uid="{00000000-0005-0000-0000-0000DF000000}"/>
    <cellStyle name="Comma 4 3 6 2" xfId="225" xr:uid="{00000000-0005-0000-0000-0000E0000000}"/>
    <cellStyle name="Comma 4 4" xfId="226" xr:uid="{00000000-0005-0000-0000-0000E1000000}"/>
    <cellStyle name="Comma 4 4 2" xfId="227" xr:uid="{00000000-0005-0000-0000-0000E2000000}"/>
    <cellStyle name="Comma 4 4 3" xfId="228" xr:uid="{00000000-0005-0000-0000-0000E3000000}"/>
    <cellStyle name="Comma 4 4 4" xfId="229" xr:uid="{00000000-0005-0000-0000-0000E4000000}"/>
    <cellStyle name="Comma 4 5" xfId="230" xr:uid="{00000000-0005-0000-0000-0000E5000000}"/>
    <cellStyle name="Comma 4 5 2" xfId="231" xr:uid="{00000000-0005-0000-0000-0000E6000000}"/>
    <cellStyle name="Comma 4 6" xfId="232" xr:uid="{00000000-0005-0000-0000-0000E7000000}"/>
    <cellStyle name="Comma 40" xfId="233" xr:uid="{00000000-0005-0000-0000-0000E8000000}"/>
    <cellStyle name="Comma 41" xfId="234" xr:uid="{00000000-0005-0000-0000-0000E9000000}"/>
    <cellStyle name="Comma 42" xfId="235" xr:uid="{00000000-0005-0000-0000-0000EA000000}"/>
    <cellStyle name="Comma 43" xfId="236" xr:uid="{00000000-0005-0000-0000-0000EB000000}"/>
    <cellStyle name="Comma 44" xfId="237" xr:uid="{00000000-0005-0000-0000-0000EC000000}"/>
    <cellStyle name="Comma 45" xfId="238" xr:uid="{00000000-0005-0000-0000-0000ED000000}"/>
    <cellStyle name="Comma 46" xfId="239" xr:uid="{00000000-0005-0000-0000-0000EE000000}"/>
    <cellStyle name="Comma 47" xfId="240" xr:uid="{00000000-0005-0000-0000-0000EF000000}"/>
    <cellStyle name="Comma 48" xfId="241" xr:uid="{00000000-0005-0000-0000-0000F0000000}"/>
    <cellStyle name="Comma 49" xfId="242" xr:uid="{00000000-0005-0000-0000-0000F1000000}"/>
    <cellStyle name="Comma 5" xfId="243" xr:uid="{00000000-0005-0000-0000-0000F2000000}"/>
    <cellStyle name="Comma 5 2" xfId="244" xr:uid="{00000000-0005-0000-0000-0000F3000000}"/>
    <cellStyle name="Comma 5 2 2" xfId="245" xr:uid="{00000000-0005-0000-0000-0000F4000000}"/>
    <cellStyle name="Comma 5 2 3" xfId="246" xr:uid="{00000000-0005-0000-0000-0000F5000000}"/>
    <cellStyle name="Comma 5 3" xfId="247" xr:uid="{00000000-0005-0000-0000-0000F6000000}"/>
    <cellStyle name="Comma 50" xfId="248" xr:uid="{00000000-0005-0000-0000-0000F7000000}"/>
    <cellStyle name="Comma 51" xfId="249" xr:uid="{00000000-0005-0000-0000-0000F8000000}"/>
    <cellStyle name="Comma 52" xfId="250" xr:uid="{00000000-0005-0000-0000-0000F9000000}"/>
    <cellStyle name="Comma 52 2" xfId="251" xr:uid="{00000000-0005-0000-0000-0000FA000000}"/>
    <cellStyle name="Comma 53" xfId="252" xr:uid="{00000000-0005-0000-0000-0000FB000000}"/>
    <cellStyle name="Comma 54" xfId="253" xr:uid="{00000000-0005-0000-0000-0000FC000000}"/>
    <cellStyle name="Comma 55" xfId="254" xr:uid="{00000000-0005-0000-0000-0000FD000000}"/>
    <cellStyle name="Comma 56" xfId="255" xr:uid="{00000000-0005-0000-0000-0000FE000000}"/>
    <cellStyle name="Comma 57" xfId="256" xr:uid="{00000000-0005-0000-0000-0000FF000000}"/>
    <cellStyle name="Comma 57 2" xfId="257" xr:uid="{00000000-0005-0000-0000-000000010000}"/>
    <cellStyle name="Comma 57 3" xfId="258" xr:uid="{00000000-0005-0000-0000-000001010000}"/>
    <cellStyle name="Comma 57 4" xfId="259" xr:uid="{00000000-0005-0000-0000-000002010000}"/>
    <cellStyle name="Comma 58" xfId="260" xr:uid="{00000000-0005-0000-0000-000003010000}"/>
    <cellStyle name="Comma 58 2" xfId="261" xr:uid="{00000000-0005-0000-0000-000004010000}"/>
    <cellStyle name="Comma 58 3" xfId="262" xr:uid="{00000000-0005-0000-0000-000005010000}"/>
    <cellStyle name="Comma 58 4" xfId="263" xr:uid="{00000000-0005-0000-0000-000006010000}"/>
    <cellStyle name="Comma 59" xfId="264" xr:uid="{00000000-0005-0000-0000-000007010000}"/>
    <cellStyle name="Comma 59 2" xfId="265" xr:uid="{00000000-0005-0000-0000-000008010000}"/>
    <cellStyle name="Comma 59 3" xfId="266" xr:uid="{00000000-0005-0000-0000-000009010000}"/>
    <cellStyle name="Comma 59 4" xfId="267" xr:uid="{00000000-0005-0000-0000-00000A010000}"/>
    <cellStyle name="Comma 6" xfId="268" xr:uid="{00000000-0005-0000-0000-00000B010000}"/>
    <cellStyle name="Comma 6 2" xfId="269" xr:uid="{00000000-0005-0000-0000-00000C010000}"/>
    <cellStyle name="Comma 6 3" xfId="270" xr:uid="{00000000-0005-0000-0000-00000D010000}"/>
    <cellStyle name="Comma 6 4" xfId="271" xr:uid="{00000000-0005-0000-0000-00000E010000}"/>
    <cellStyle name="Comma 6 4 2" xfId="272" xr:uid="{00000000-0005-0000-0000-00000F010000}"/>
    <cellStyle name="Comma 6 4 3" xfId="273" xr:uid="{00000000-0005-0000-0000-000010010000}"/>
    <cellStyle name="Comma 6 4 4" xfId="274" xr:uid="{00000000-0005-0000-0000-000011010000}"/>
    <cellStyle name="Comma 6 5" xfId="275" xr:uid="{00000000-0005-0000-0000-000012010000}"/>
    <cellStyle name="Comma 60" xfId="276" xr:uid="{00000000-0005-0000-0000-000013010000}"/>
    <cellStyle name="Comma 60 2" xfId="277" xr:uid="{00000000-0005-0000-0000-000014010000}"/>
    <cellStyle name="Comma 60 3" xfId="278" xr:uid="{00000000-0005-0000-0000-000015010000}"/>
    <cellStyle name="Comma 60 4" xfId="279" xr:uid="{00000000-0005-0000-0000-000016010000}"/>
    <cellStyle name="Comma 61" xfId="280" xr:uid="{00000000-0005-0000-0000-000017010000}"/>
    <cellStyle name="Comma 61 2" xfId="281" xr:uid="{00000000-0005-0000-0000-000018010000}"/>
    <cellStyle name="Comma 61 3" xfId="282" xr:uid="{00000000-0005-0000-0000-000019010000}"/>
    <cellStyle name="Comma 61 4" xfId="283" xr:uid="{00000000-0005-0000-0000-00001A010000}"/>
    <cellStyle name="Comma 62" xfId="284" xr:uid="{00000000-0005-0000-0000-00001B010000}"/>
    <cellStyle name="Comma 62 2" xfId="285" xr:uid="{00000000-0005-0000-0000-00001C010000}"/>
    <cellStyle name="Comma 62 3" xfId="286" xr:uid="{00000000-0005-0000-0000-00001D010000}"/>
    <cellStyle name="Comma 63" xfId="287" xr:uid="{00000000-0005-0000-0000-00001E010000}"/>
    <cellStyle name="Comma 63 2" xfId="288" xr:uid="{00000000-0005-0000-0000-00001F010000}"/>
    <cellStyle name="Comma 63 3" xfId="289" xr:uid="{00000000-0005-0000-0000-000020010000}"/>
    <cellStyle name="Comma 64" xfId="290" xr:uid="{00000000-0005-0000-0000-000021010000}"/>
    <cellStyle name="Comma 64 2" xfId="291" xr:uid="{00000000-0005-0000-0000-000022010000}"/>
    <cellStyle name="Comma 64 3" xfId="292" xr:uid="{00000000-0005-0000-0000-000023010000}"/>
    <cellStyle name="Comma 65" xfId="293" xr:uid="{00000000-0005-0000-0000-000024010000}"/>
    <cellStyle name="Comma 65 2" xfId="294" xr:uid="{00000000-0005-0000-0000-000025010000}"/>
    <cellStyle name="Comma 65 3" xfId="295" xr:uid="{00000000-0005-0000-0000-000026010000}"/>
    <cellStyle name="Comma 66" xfId="296" xr:uid="{00000000-0005-0000-0000-000027010000}"/>
    <cellStyle name="Comma 66 2" xfId="297" xr:uid="{00000000-0005-0000-0000-000028010000}"/>
    <cellStyle name="Comma 66 3" xfId="298" xr:uid="{00000000-0005-0000-0000-000029010000}"/>
    <cellStyle name="Comma 67" xfId="299" xr:uid="{00000000-0005-0000-0000-00002A010000}"/>
    <cellStyle name="Comma 67 2" xfId="300" xr:uid="{00000000-0005-0000-0000-00002B010000}"/>
    <cellStyle name="Comma 67 3" xfId="301" xr:uid="{00000000-0005-0000-0000-00002C010000}"/>
    <cellStyle name="Comma 68" xfId="302" xr:uid="{00000000-0005-0000-0000-00002D010000}"/>
    <cellStyle name="Comma 68 2" xfId="303" xr:uid="{00000000-0005-0000-0000-00002E010000}"/>
    <cellStyle name="Comma 68 3" xfId="304" xr:uid="{00000000-0005-0000-0000-00002F010000}"/>
    <cellStyle name="Comma 69" xfId="305" xr:uid="{00000000-0005-0000-0000-000030010000}"/>
    <cellStyle name="Comma 69 2" xfId="306" xr:uid="{00000000-0005-0000-0000-000031010000}"/>
    <cellStyle name="Comma 7" xfId="307" xr:uid="{00000000-0005-0000-0000-000032010000}"/>
    <cellStyle name="Comma 7 2" xfId="308" xr:uid="{00000000-0005-0000-0000-000033010000}"/>
    <cellStyle name="Comma 70" xfId="309" xr:uid="{00000000-0005-0000-0000-000034010000}"/>
    <cellStyle name="Comma 70 2" xfId="310" xr:uid="{00000000-0005-0000-0000-000035010000}"/>
    <cellStyle name="Comma 71" xfId="311" xr:uid="{00000000-0005-0000-0000-000036010000}"/>
    <cellStyle name="Comma 71 2" xfId="312" xr:uid="{00000000-0005-0000-0000-000037010000}"/>
    <cellStyle name="Comma 72" xfId="313" xr:uid="{00000000-0005-0000-0000-000038010000}"/>
    <cellStyle name="Comma 73" xfId="314" xr:uid="{00000000-0005-0000-0000-000039010000}"/>
    <cellStyle name="Comma 74" xfId="315" xr:uid="{00000000-0005-0000-0000-00003A010000}"/>
    <cellStyle name="Comma 75" xfId="316" xr:uid="{00000000-0005-0000-0000-00003B010000}"/>
    <cellStyle name="Comma 76" xfId="317" xr:uid="{00000000-0005-0000-0000-00003C010000}"/>
    <cellStyle name="Comma 8" xfId="318" xr:uid="{00000000-0005-0000-0000-00003D010000}"/>
    <cellStyle name="Comma 9" xfId="319" xr:uid="{00000000-0005-0000-0000-00003E010000}"/>
    <cellStyle name="Comma0" xfId="320" xr:uid="{00000000-0005-0000-0000-00003F010000}"/>
    <cellStyle name="Comma0 2" xfId="321" xr:uid="{00000000-0005-0000-0000-000040010000}"/>
    <cellStyle name="Comma0 2 2" xfId="322" xr:uid="{00000000-0005-0000-0000-000041010000}"/>
    <cellStyle name="Comma0 2 3" xfId="323" xr:uid="{00000000-0005-0000-0000-000042010000}"/>
    <cellStyle name="Comma0 2 4" xfId="324" xr:uid="{00000000-0005-0000-0000-000043010000}"/>
    <cellStyle name="Comma0 2 5" xfId="325" xr:uid="{00000000-0005-0000-0000-000044010000}"/>
    <cellStyle name="Comma0 3" xfId="326" xr:uid="{00000000-0005-0000-0000-000045010000}"/>
    <cellStyle name="Currency" xfId="327" builtinId="4"/>
    <cellStyle name="Currency 2" xfId="328" xr:uid="{00000000-0005-0000-0000-000047010000}"/>
    <cellStyle name="Currency 2 2" xfId="329" xr:uid="{00000000-0005-0000-0000-000048010000}"/>
    <cellStyle name="Currency 2 2 2" xfId="330" xr:uid="{00000000-0005-0000-0000-000049010000}"/>
    <cellStyle name="Currency 2 3" xfId="331" xr:uid="{00000000-0005-0000-0000-00004A010000}"/>
    <cellStyle name="Currency 3" xfId="332" xr:uid="{00000000-0005-0000-0000-00004B010000}"/>
    <cellStyle name="Currency 3 2" xfId="333" xr:uid="{00000000-0005-0000-0000-00004C010000}"/>
    <cellStyle name="Currency 3 2 2" xfId="334" xr:uid="{00000000-0005-0000-0000-00004D010000}"/>
    <cellStyle name="Currency 3 3" xfId="335" xr:uid="{00000000-0005-0000-0000-00004E010000}"/>
    <cellStyle name="Currency 3 3 2" xfId="336" xr:uid="{00000000-0005-0000-0000-00004F010000}"/>
    <cellStyle name="Currency 3 3 2 2" xfId="337" xr:uid="{00000000-0005-0000-0000-000050010000}"/>
    <cellStyle name="Currency 3 3 2 3" xfId="338" xr:uid="{00000000-0005-0000-0000-000051010000}"/>
    <cellStyle name="Currency 3 3 3" xfId="339" xr:uid="{00000000-0005-0000-0000-000052010000}"/>
    <cellStyle name="Currency 3 3 3 2" xfId="340" xr:uid="{00000000-0005-0000-0000-000053010000}"/>
    <cellStyle name="Currency 3 3 3 2 2" xfId="341" xr:uid="{00000000-0005-0000-0000-000054010000}"/>
    <cellStyle name="Currency 3 3 3 2 3" xfId="342" xr:uid="{00000000-0005-0000-0000-000055010000}"/>
    <cellStyle name="Currency 3 3 3 2 4" xfId="343" xr:uid="{00000000-0005-0000-0000-000056010000}"/>
    <cellStyle name="Currency 3 3 3 3" xfId="344" xr:uid="{00000000-0005-0000-0000-000057010000}"/>
    <cellStyle name="Currency 3 3 4" xfId="345" xr:uid="{00000000-0005-0000-0000-000058010000}"/>
    <cellStyle name="Currency 3 3 5" xfId="346" xr:uid="{00000000-0005-0000-0000-000059010000}"/>
    <cellStyle name="Currency 3 3 5 2" xfId="347" xr:uid="{00000000-0005-0000-0000-00005A010000}"/>
    <cellStyle name="Currency 3 3 5 3" xfId="348" xr:uid="{00000000-0005-0000-0000-00005B010000}"/>
    <cellStyle name="Currency 3 3 5 4" xfId="349" xr:uid="{00000000-0005-0000-0000-00005C010000}"/>
    <cellStyle name="Currency 3 4" xfId="350" xr:uid="{00000000-0005-0000-0000-00005D010000}"/>
    <cellStyle name="Currency 3 4 2" xfId="351" xr:uid="{00000000-0005-0000-0000-00005E010000}"/>
    <cellStyle name="Currency 3 4 3" xfId="352" xr:uid="{00000000-0005-0000-0000-00005F010000}"/>
    <cellStyle name="Currency 3 4 4" xfId="353" xr:uid="{00000000-0005-0000-0000-000060010000}"/>
    <cellStyle name="Currency 3 4 4 2" xfId="354" xr:uid="{00000000-0005-0000-0000-000061010000}"/>
    <cellStyle name="Currency 3 4 4 3" xfId="355" xr:uid="{00000000-0005-0000-0000-000062010000}"/>
    <cellStyle name="Currency 3 4 4 4" xfId="356" xr:uid="{00000000-0005-0000-0000-000063010000}"/>
    <cellStyle name="Currency 3 4 5" xfId="357" xr:uid="{00000000-0005-0000-0000-000064010000}"/>
    <cellStyle name="Currency 3 5" xfId="358" xr:uid="{00000000-0005-0000-0000-000065010000}"/>
    <cellStyle name="Currency 3 5 2" xfId="359" xr:uid="{00000000-0005-0000-0000-000066010000}"/>
    <cellStyle name="Currency 3 6" xfId="360" xr:uid="{00000000-0005-0000-0000-000067010000}"/>
    <cellStyle name="Currency 3 7" xfId="361" xr:uid="{00000000-0005-0000-0000-000068010000}"/>
    <cellStyle name="Currency 3 8" xfId="362" xr:uid="{00000000-0005-0000-0000-000069010000}"/>
    <cellStyle name="Currency 4" xfId="363" xr:uid="{00000000-0005-0000-0000-00006A010000}"/>
    <cellStyle name="Currency 4 10" xfId="364" xr:uid="{00000000-0005-0000-0000-00006B010000}"/>
    <cellStyle name="Currency 4 10 2" xfId="365" xr:uid="{00000000-0005-0000-0000-00006C010000}"/>
    <cellStyle name="Currency 4 10 2 2" xfId="366" xr:uid="{00000000-0005-0000-0000-00006D010000}"/>
    <cellStyle name="Currency 4 10 2 2 2" xfId="367" xr:uid="{00000000-0005-0000-0000-00006E010000}"/>
    <cellStyle name="Currency 4 10 2 3" xfId="368" xr:uid="{00000000-0005-0000-0000-00006F010000}"/>
    <cellStyle name="Currency 4 10 2 3 2" xfId="369" xr:uid="{00000000-0005-0000-0000-000070010000}"/>
    <cellStyle name="Currency 4 10 2 4" xfId="370" xr:uid="{00000000-0005-0000-0000-000071010000}"/>
    <cellStyle name="Currency 4 10 3" xfId="371" xr:uid="{00000000-0005-0000-0000-000072010000}"/>
    <cellStyle name="Currency 4 10 3 2" xfId="372" xr:uid="{00000000-0005-0000-0000-000073010000}"/>
    <cellStyle name="Currency 4 10 4" xfId="373" xr:uid="{00000000-0005-0000-0000-000074010000}"/>
    <cellStyle name="Currency 4 10 4 2" xfId="374" xr:uid="{00000000-0005-0000-0000-000075010000}"/>
    <cellStyle name="Currency 4 10 4 3" xfId="375" xr:uid="{00000000-0005-0000-0000-000076010000}"/>
    <cellStyle name="Currency 4 10 5" xfId="376" xr:uid="{00000000-0005-0000-0000-000077010000}"/>
    <cellStyle name="Currency 4 10 5 2" xfId="377" xr:uid="{00000000-0005-0000-0000-000078010000}"/>
    <cellStyle name="Currency 4 2" xfId="378" xr:uid="{00000000-0005-0000-0000-000079010000}"/>
    <cellStyle name="Currency 4 2 2" xfId="379" xr:uid="{00000000-0005-0000-0000-00007A010000}"/>
    <cellStyle name="Currency 4 2 3" xfId="380" xr:uid="{00000000-0005-0000-0000-00007B010000}"/>
    <cellStyle name="Currency 4 3" xfId="381" xr:uid="{00000000-0005-0000-0000-00007C010000}"/>
    <cellStyle name="Currency 4 3 2" xfId="382" xr:uid="{00000000-0005-0000-0000-00007D010000}"/>
    <cellStyle name="Currency 4 3 2 2" xfId="383" xr:uid="{00000000-0005-0000-0000-00007E010000}"/>
    <cellStyle name="Currency 4 3 2 3" xfId="384" xr:uid="{00000000-0005-0000-0000-00007F010000}"/>
    <cellStyle name="Currency 4 3 2 4" xfId="385" xr:uid="{00000000-0005-0000-0000-000080010000}"/>
    <cellStyle name="Currency 4 3 3" xfId="386" xr:uid="{00000000-0005-0000-0000-000081010000}"/>
    <cellStyle name="Currency 4 4" xfId="387" xr:uid="{00000000-0005-0000-0000-000082010000}"/>
    <cellStyle name="Currency 4 5" xfId="388" xr:uid="{00000000-0005-0000-0000-000083010000}"/>
    <cellStyle name="Currency 4 5 2" xfId="389" xr:uid="{00000000-0005-0000-0000-000084010000}"/>
    <cellStyle name="Currency 4 5 3" xfId="390" xr:uid="{00000000-0005-0000-0000-000085010000}"/>
    <cellStyle name="Currency 4 5 4" xfId="391" xr:uid="{00000000-0005-0000-0000-000086010000}"/>
    <cellStyle name="Currency 5" xfId="392" xr:uid="{00000000-0005-0000-0000-000087010000}"/>
    <cellStyle name="Currency 5 2" xfId="393" xr:uid="{00000000-0005-0000-0000-000088010000}"/>
    <cellStyle name="Currency 5 3" xfId="394" xr:uid="{00000000-0005-0000-0000-000089010000}"/>
    <cellStyle name="Currency 5 4" xfId="395" xr:uid="{00000000-0005-0000-0000-00008A010000}"/>
    <cellStyle name="Currency 5 4 2" xfId="396" xr:uid="{00000000-0005-0000-0000-00008B010000}"/>
    <cellStyle name="Currency 5 4 3" xfId="397" xr:uid="{00000000-0005-0000-0000-00008C010000}"/>
    <cellStyle name="Currency 5 4 4" xfId="398" xr:uid="{00000000-0005-0000-0000-00008D010000}"/>
    <cellStyle name="Currency 5 5" xfId="399" xr:uid="{00000000-0005-0000-0000-00008E010000}"/>
    <cellStyle name="Currency 6" xfId="400" xr:uid="{00000000-0005-0000-0000-00008F010000}"/>
    <cellStyle name="Currency 6 2" xfId="401" xr:uid="{00000000-0005-0000-0000-000090010000}"/>
    <cellStyle name="Currency 6 3" xfId="402" xr:uid="{00000000-0005-0000-0000-000091010000}"/>
    <cellStyle name="Currency 6 3 2" xfId="403" xr:uid="{00000000-0005-0000-0000-000092010000}"/>
    <cellStyle name="Currency 6 3 3" xfId="404" xr:uid="{00000000-0005-0000-0000-000093010000}"/>
    <cellStyle name="Currency 6 3 4" xfId="405" xr:uid="{00000000-0005-0000-0000-000094010000}"/>
    <cellStyle name="Currency 7" xfId="406" xr:uid="{00000000-0005-0000-0000-000095010000}"/>
    <cellStyle name="Currency 8" xfId="407" xr:uid="{00000000-0005-0000-0000-000096010000}"/>
    <cellStyle name="Currency 9" xfId="408" xr:uid="{00000000-0005-0000-0000-000097010000}"/>
    <cellStyle name="Currency0" xfId="409" xr:uid="{00000000-0005-0000-0000-000098010000}"/>
    <cellStyle name="Currency0 2" xfId="410" xr:uid="{00000000-0005-0000-0000-000099010000}"/>
    <cellStyle name="Currency0 2 2" xfId="411" xr:uid="{00000000-0005-0000-0000-00009A010000}"/>
    <cellStyle name="Currency0 2 3" xfId="412" xr:uid="{00000000-0005-0000-0000-00009B010000}"/>
    <cellStyle name="Currency0 2 4" xfId="413" xr:uid="{00000000-0005-0000-0000-00009C010000}"/>
    <cellStyle name="Currency0 2 5" xfId="414" xr:uid="{00000000-0005-0000-0000-00009D010000}"/>
    <cellStyle name="Currency0 3" xfId="415" xr:uid="{00000000-0005-0000-0000-00009E010000}"/>
    <cellStyle name="Date" xfId="416" xr:uid="{00000000-0005-0000-0000-00009F010000}"/>
    <cellStyle name="Date 2" xfId="417" xr:uid="{00000000-0005-0000-0000-0000A0010000}"/>
    <cellStyle name="Date 2 2" xfId="418" xr:uid="{00000000-0005-0000-0000-0000A1010000}"/>
    <cellStyle name="Date 2 3" xfId="419" xr:uid="{00000000-0005-0000-0000-0000A2010000}"/>
    <cellStyle name="Date 2 4" xfId="420" xr:uid="{00000000-0005-0000-0000-0000A3010000}"/>
    <cellStyle name="Date 2 5" xfId="421" xr:uid="{00000000-0005-0000-0000-0000A4010000}"/>
    <cellStyle name="Date 3" xfId="422" xr:uid="{00000000-0005-0000-0000-0000A5010000}"/>
    <cellStyle name="Explanatory Text" xfId="423" builtinId="53" customBuiltin="1"/>
    <cellStyle name="Explanatory Text 2" xfId="424" xr:uid="{00000000-0005-0000-0000-0000A7010000}"/>
    <cellStyle name="Explanatory Text 2 2" xfId="425" xr:uid="{00000000-0005-0000-0000-0000A8010000}"/>
    <cellStyle name="Fixed" xfId="426" xr:uid="{00000000-0005-0000-0000-0000A9010000}"/>
    <cellStyle name="Fixed 2" xfId="427" xr:uid="{00000000-0005-0000-0000-0000AA010000}"/>
    <cellStyle name="Fixed 2 2" xfId="428" xr:uid="{00000000-0005-0000-0000-0000AB010000}"/>
    <cellStyle name="Fixed 2 3" xfId="429" xr:uid="{00000000-0005-0000-0000-0000AC010000}"/>
    <cellStyle name="Fixed 2 4" xfId="430" xr:uid="{00000000-0005-0000-0000-0000AD010000}"/>
    <cellStyle name="Fixed 2 5" xfId="431" xr:uid="{00000000-0005-0000-0000-0000AE010000}"/>
    <cellStyle name="Fixed 3" xfId="432" xr:uid="{00000000-0005-0000-0000-0000AF010000}"/>
    <cellStyle name="Good" xfId="433" builtinId="26" customBuiltin="1"/>
    <cellStyle name="Good 2" xfId="434" xr:uid="{00000000-0005-0000-0000-0000B1010000}"/>
    <cellStyle name="Good 2 2" xfId="435" xr:uid="{00000000-0005-0000-0000-0000B2010000}"/>
    <cellStyle name="Heading 1" xfId="436" builtinId="16" customBuiltin="1"/>
    <cellStyle name="Heading 1 2" xfId="437" xr:uid="{00000000-0005-0000-0000-0000B4010000}"/>
    <cellStyle name="Heading 1 2 2" xfId="438" xr:uid="{00000000-0005-0000-0000-0000B5010000}"/>
    <cellStyle name="Heading 1 3" xfId="439" xr:uid="{00000000-0005-0000-0000-0000B6010000}"/>
    <cellStyle name="Heading 1 3 2" xfId="440" xr:uid="{00000000-0005-0000-0000-0000B7010000}"/>
    <cellStyle name="Heading 2" xfId="441" builtinId="17" customBuiltin="1"/>
    <cellStyle name="Heading 2 2" xfId="442" xr:uid="{00000000-0005-0000-0000-0000B9010000}"/>
    <cellStyle name="Heading 2 2 2" xfId="443" xr:uid="{00000000-0005-0000-0000-0000BA010000}"/>
    <cellStyle name="Heading 2 3" xfId="444" xr:uid="{00000000-0005-0000-0000-0000BB010000}"/>
    <cellStyle name="Heading 2 3 2" xfId="445" xr:uid="{00000000-0005-0000-0000-0000BC010000}"/>
    <cellStyle name="Heading 3" xfId="446" builtinId="18" customBuiltin="1"/>
    <cellStyle name="Heading 3 2" xfId="447" xr:uid="{00000000-0005-0000-0000-0000BE010000}"/>
    <cellStyle name="Heading 3 2 2" xfId="448" xr:uid="{00000000-0005-0000-0000-0000BF010000}"/>
    <cellStyle name="Heading 4" xfId="449" builtinId="19" customBuiltin="1"/>
    <cellStyle name="Heading 4 2" xfId="450" xr:uid="{00000000-0005-0000-0000-0000C1010000}"/>
    <cellStyle name="Heading 4 2 2" xfId="451" xr:uid="{00000000-0005-0000-0000-0000C2010000}"/>
    <cellStyle name="Heading1" xfId="452" xr:uid="{00000000-0005-0000-0000-0000C3010000}"/>
    <cellStyle name="Heading2" xfId="453" xr:uid="{00000000-0005-0000-0000-0000C4010000}"/>
    <cellStyle name="Input" xfId="454" builtinId="20" customBuiltin="1"/>
    <cellStyle name="Input 2" xfId="455" xr:uid="{00000000-0005-0000-0000-0000C6010000}"/>
    <cellStyle name="Input 2 2" xfId="456" xr:uid="{00000000-0005-0000-0000-0000C7010000}"/>
    <cellStyle name="Linked Cell" xfId="457" builtinId="24" customBuiltin="1"/>
    <cellStyle name="Linked Cell 2" xfId="458" xr:uid="{00000000-0005-0000-0000-0000C9010000}"/>
    <cellStyle name="Linked Cell 2 2" xfId="459" xr:uid="{00000000-0005-0000-0000-0000CA010000}"/>
    <cellStyle name="M" xfId="460" xr:uid="{00000000-0005-0000-0000-0000CB010000}"/>
    <cellStyle name="M 2" xfId="461" xr:uid="{00000000-0005-0000-0000-0000CC010000}"/>
    <cellStyle name="M 2 2" xfId="462" xr:uid="{00000000-0005-0000-0000-0000CD010000}"/>
    <cellStyle name="M 2 2 2" xfId="463" xr:uid="{00000000-0005-0000-0000-0000CE010000}"/>
    <cellStyle name="M 3" xfId="464" xr:uid="{00000000-0005-0000-0000-0000CF010000}"/>
    <cellStyle name="M 3 2" xfId="465" xr:uid="{00000000-0005-0000-0000-0000D0010000}"/>
    <cellStyle name="M 3 2 2" xfId="466" xr:uid="{00000000-0005-0000-0000-0000D1010000}"/>
    <cellStyle name="M 4" xfId="467" xr:uid="{00000000-0005-0000-0000-0000D2010000}"/>
    <cellStyle name="M 5" xfId="468" xr:uid="{00000000-0005-0000-0000-0000D3010000}"/>
    <cellStyle name="M 5 2" xfId="469" xr:uid="{00000000-0005-0000-0000-0000D4010000}"/>
    <cellStyle name="M 6" xfId="470" xr:uid="{00000000-0005-0000-0000-0000D5010000}"/>
    <cellStyle name="M 6 2" xfId="471" xr:uid="{00000000-0005-0000-0000-0000D6010000}"/>
    <cellStyle name="M 7" xfId="472" xr:uid="{00000000-0005-0000-0000-0000D7010000}"/>
    <cellStyle name="Neutral" xfId="473" builtinId="28" customBuiltin="1"/>
    <cellStyle name="Neutral 2" xfId="474" xr:uid="{00000000-0005-0000-0000-0000D9010000}"/>
    <cellStyle name="Neutral 2 2" xfId="475" xr:uid="{00000000-0005-0000-0000-0000DA010000}"/>
    <cellStyle name="Normal" xfId="0" builtinId="0"/>
    <cellStyle name="Normal 10" xfId="476" xr:uid="{00000000-0005-0000-0000-0000DC010000}"/>
    <cellStyle name="Normal 10 2" xfId="477" xr:uid="{00000000-0005-0000-0000-0000DD010000}"/>
    <cellStyle name="Normal 11" xfId="478" xr:uid="{00000000-0005-0000-0000-0000DE010000}"/>
    <cellStyle name="Normal 11 2" xfId="479" xr:uid="{00000000-0005-0000-0000-0000DF010000}"/>
    <cellStyle name="Normal 11 3" xfId="480" xr:uid="{00000000-0005-0000-0000-0000E0010000}"/>
    <cellStyle name="Normal 12" xfId="481" xr:uid="{00000000-0005-0000-0000-0000E1010000}"/>
    <cellStyle name="Normal 12 2" xfId="482" xr:uid="{00000000-0005-0000-0000-0000E2010000}"/>
    <cellStyle name="Normal 12 3" xfId="483" xr:uid="{00000000-0005-0000-0000-0000E3010000}"/>
    <cellStyle name="Normal 2" xfId="484" xr:uid="{00000000-0005-0000-0000-0000E4010000}"/>
    <cellStyle name="Normal 2 2" xfId="485" xr:uid="{00000000-0005-0000-0000-0000E5010000}"/>
    <cellStyle name="Normal 2 2 2" xfId="486" xr:uid="{00000000-0005-0000-0000-0000E6010000}"/>
    <cellStyle name="Normal 2 2 3" xfId="487" xr:uid="{00000000-0005-0000-0000-0000E7010000}"/>
    <cellStyle name="Normal 2 2 4" xfId="488" xr:uid="{00000000-0005-0000-0000-0000E8010000}"/>
    <cellStyle name="Normal 3" xfId="489" xr:uid="{00000000-0005-0000-0000-0000E9010000}"/>
    <cellStyle name="Normal 3 2" xfId="490" xr:uid="{00000000-0005-0000-0000-0000EA010000}"/>
    <cellStyle name="Normal 3 2 2" xfId="491" xr:uid="{00000000-0005-0000-0000-0000EB010000}"/>
    <cellStyle name="Normal 3 3" xfId="492" xr:uid="{00000000-0005-0000-0000-0000EC010000}"/>
    <cellStyle name="Normal 3 3 2" xfId="493" xr:uid="{00000000-0005-0000-0000-0000ED010000}"/>
    <cellStyle name="Normal 3 3 3" xfId="494" xr:uid="{00000000-0005-0000-0000-0000EE010000}"/>
    <cellStyle name="Normal 3 3 4" xfId="495" xr:uid="{00000000-0005-0000-0000-0000EF010000}"/>
    <cellStyle name="Normal 3_OPCo Period I PJM  Formula Rate" xfId="496" xr:uid="{00000000-0005-0000-0000-0000F0010000}"/>
    <cellStyle name="Normal 35" xfId="497" xr:uid="{00000000-0005-0000-0000-0000F1010000}"/>
    <cellStyle name="Normal 4" xfId="498" xr:uid="{00000000-0005-0000-0000-0000F2010000}"/>
    <cellStyle name="Normal 4 2" xfId="499" xr:uid="{00000000-0005-0000-0000-0000F3010000}"/>
    <cellStyle name="Normal 4 2 2" xfId="500" xr:uid="{00000000-0005-0000-0000-0000F4010000}"/>
    <cellStyle name="Normal 4 3" xfId="501" xr:uid="{00000000-0005-0000-0000-0000F5010000}"/>
    <cellStyle name="Normal 4 3 2" xfId="502" xr:uid="{00000000-0005-0000-0000-0000F6010000}"/>
    <cellStyle name="Normal 4 3 2 2" xfId="503" xr:uid="{00000000-0005-0000-0000-0000F7010000}"/>
    <cellStyle name="Normal 4 3 2 3" xfId="504" xr:uid="{00000000-0005-0000-0000-0000F8010000}"/>
    <cellStyle name="Normal 4 3 3" xfId="505" xr:uid="{00000000-0005-0000-0000-0000F9010000}"/>
    <cellStyle name="Normal 4 3 3 2" xfId="506" xr:uid="{00000000-0005-0000-0000-0000FA010000}"/>
    <cellStyle name="Normal 4 3 3 2 2" xfId="507" xr:uid="{00000000-0005-0000-0000-0000FB010000}"/>
    <cellStyle name="Normal 4 3 3 2 3" xfId="508" xr:uid="{00000000-0005-0000-0000-0000FC010000}"/>
    <cellStyle name="Normal 4 3 3 2 4" xfId="509" xr:uid="{00000000-0005-0000-0000-0000FD010000}"/>
    <cellStyle name="Normal 4 3 3 3" xfId="510" xr:uid="{00000000-0005-0000-0000-0000FE010000}"/>
    <cellStyle name="Normal 4 3 4" xfId="511" xr:uid="{00000000-0005-0000-0000-0000FF010000}"/>
    <cellStyle name="Normal 4 3 5" xfId="512" xr:uid="{00000000-0005-0000-0000-000000020000}"/>
    <cellStyle name="Normal 4 3 5 2" xfId="513" xr:uid="{00000000-0005-0000-0000-000001020000}"/>
    <cellStyle name="Normal 4 3 5 3" xfId="514" xr:uid="{00000000-0005-0000-0000-000002020000}"/>
    <cellStyle name="Normal 4 3 5 4" xfId="515" xr:uid="{00000000-0005-0000-0000-000003020000}"/>
    <cellStyle name="Normal 4 4" xfId="516" xr:uid="{00000000-0005-0000-0000-000004020000}"/>
    <cellStyle name="Normal 4 4 2" xfId="517" xr:uid="{00000000-0005-0000-0000-000005020000}"/>
    <cellStyle name="Normal 4 4 3" xfId="518" xr:uid="{00000000-0005-0000-0000-000006020000}"/>
    <cellStyle name="Normal 4 4 4" xfId="519" xr:uid="{00000000-0005-0000-0000-000007020000}"/>
    <cellStyle name="Normal 4 4 4 2" xfId="520" xr:uid="{00000000-0005-0000-0000-000008020000}"/>
    <cellStyle name="Normal 4 4 4 3" xfId="521" xr:uid="{00000000-0005-0000-0000-000009020000}"/>
    <cellStyle name="Normal 4 4 4 4" xfId="522" xr:uid="{00000000-0005-0000-0000-00000A020000}"/>
    <cellStyle name="Normal 4 4 5" xfId="523" xr:uid="{00000000-0005-0000-0000-00000B020000}"/>
    <cellStyle name="Normal 4 5" xfId="524" xr:uid="{00000000-0005-0000-0000-00000C020000}"/>
    <cellStyle name="Normal 4 5 2" xfId="525" xr:uid="{00000000-0005-0000-0000-00000D020000}"/>
    <cellStyle name="Normal 4 5 2 2" xfId="526" xr:uid="{00000000-0005-0000-0000-00000E020000}"/>
    <cellStyle name="Normal 4 5 2 2 2" xfId="527" xr:uid="{00000000-0005-0000-0000-00000F020000}"/>
    <cellStyle name="Normal 4 5 2 2 3" xfId="528" xr:uid="{00000000-0005-0000-0000-000010020000}"/>
    <cellStyle name="Normal 4 5 2 2 4" xfId="529" xr:uid="{00000000-0005-0000-0000-000011020000}"/>
    <cellStyle name="Normal 4 5 3" xfId="530" xr:uid="{00000000-0005-0000-0000-000012020000}"/>
    <cellStyle name="Normal 4 6" xfId="531" xr:uid="{00000000-0005-0000-0000-000013020000}"/>
    <cellStyle name="Normal 4 7" xfId="532" xr:uid="{00000000-0005-0000-0000-000014020000}"/>
    <cellStyle name="Normal 4 8" xfId="533" xr:uid="{00000000-0005-0000-0000-000015020000}"/>
    <cellStyle name="Normal 4_PBOP Exhibit 1" xfId="534" xr:uid="{00000000-0005-0000-0000-000016020000}"/>
    <cellStyle name="Normal 5" xfId="535" xr:uid="{00000000-0005-0000-0000-000017020000}"/>
    <cellStyle name="Normal 5 2" xfId="536" xr:uid="{00000000-0005-0000-0000-000018020000}"/>
    <cellStyle name="Normal 5 2 2" xfId="537" xr:uid="{00000000-0005-0000-0000-000019020000}"/>
    <cellStyle name="Normal 5 2 3" xfId="538" xr:uid="{00000000-0005-0000-0000-00001A020000}"/>
    <cellStyle name="Normal 5 2 4" xfId="539" xr:uid="{00000000-0005-0000-0000-00001B020000}"/>
    <cellStyle name="Normal 6" xfId="540" xr:uid="{00000000-0005-0000-0000-00001C020000}"/>
    <cellStyle name="Normal 6 2" xfId="541" xr:uid="{00000000-0005-0000-0000-00001D020000}"/>
    <cellStyle name="Normal 7" xfId="542" xr:uid="{00000000-0005-0000-0000-00001E020000}"/>
    <cellStyle name="Normal 7 2" xfId="543" xr:uid="{00000000-0005-0000-0000-00001F020000}"/>
    <cellStyle name="Normal 7 3" xfId="544" xr:uid="{00000000-0005-0000-0000-000020020000}"/>
    <cellStyle name="Normal 8" xfId="545" xr:uid="{00000000-0005-0000-0000-000021020000}"/>
    <cellStyle name="Normal 8 2" xfId="546" xr:uid="{00000000-0005-0000-0000-000022020000}"/>
    <cellStyle name="Normal 9" xfId="547" xr:uid="{00000000-0005-0000-0000-000023020000}"/>
    <cellStyle name="Normal 9 2" xfId="548" xr:uid="{00000000-0005-0000-0000-000024020000}"/>
    <cellStyle name="Normal_FN1 Ratebase Draft SPP template (6-11-04) v2" xfId="549" xr:uid="{00000000-0005-0000-0000-000025020000}"/>
    <cellStyle name="Note" xfId="550" builtinId="10" customBuiltin="1"/>
    <cellStyle name="Note 2" xfId="551" xr:uid="{00000000-0005-0000-0000-000027020000}"/>
    <cellStyle name="Note 2 2" xfId="552" xr:uid="{00000000-0005-0000-0000-000028020000}"/>
    <cellStyle name="Note 2 2 2" xfId="553" xr:uid="{00000000-0005-0000-0000-000029020000}"/>
    <cellStyle name="Note 2 2 3" xfId="554" xr:uid="{00000000-0005-0000-0000-00002A020000}"/>
    <cellStyle name="Note 2 2 4" xfId="555" xr:uid="{00000000-0005-0000-0000-00002B020000}"/>
    <cellStyle name="Output" xfId="556" builtinId="21" customBuiltin="1"/>
    <cellStyle name="Output 2" xfId="557" xr:uid="{00000000-0005-0000-0000-00002D020000}"/>
    <cellStyle name="Output 2 2" xfId="558" xr:uid="{00000000-0005-0000-0000-00002E020000}"/>
    <cellStyle name="Percent" xfId="559" builtinId="5"/>
    <cellStyle name="Percent 10" xfId="560" xr:uid="{00000000-0005-0000-0000-000030020000}"/>
    <cellStyle name="Percent 2" xfId="561" xr:uid="{00000000-0005-0000-0000-000031020000}"/>
    <cellStyle name="Percent 2 2" xfId="562" xr:uid="{00000000-0005-0000-0000-000032020000}"/>
    <cellStyle name="Percent 2 2 2" xfId="563" xr:uid="{00000000-0005-0000-0000-000033020000}"/>
    <cellStyle name="Percent 2 3" xfId="564" xr:uid="{00000000-0005-0000-0000-000034020000}"/>
    <cellStyle name="Percent 3" xfId="565" xr:uid="{00000000-0005-0000-0000-000035020000}"/>
    <cellStyle name="Percent 3 2" xfId="566" xr:uid="{00000000-0005-0000-0000-000036020000}"/>
    <cellStyle name="Percent 3 2 2" xfId="567" xr:uid="{00000000-0005-0000-0000-000037020000}"/>
    <cellStyle name="Percent 3 3" xfId="568" xr:uid="{00000000-0005-0000-0000-000038020000}"/>
    <cellStyle name="Percent 3 3 2" xfId="569" xr:uid="{00000000-0005-0000-0000-000039020000}"/>
    <cellStyle name="Percent 3 3 2 2" xfId="570" xr:uid="{00000000-0005-0000-0000-00003A020000}"/>
    <cellStyle name="Percent 3 3 2 3" xfId="571" xr:uid="{00000000-0005-0000-0000-00003B020000}"/>
    <cellStyle name="Percent 3 3 3" xfId="572" xr:uid="{00000000-0005-0000-0000-00003C020000}"/>
    <cellStyle name="Percent 3 3 3 2" xfId="573" xr:uid="{00000000-0005-0000-0000-00003D020000}"/>
    <cellStyle name="Percent 3 3 3 2 2" xfId="574" xr:uid="{00000000-0005-0000-0000-00003E020000}"/>
    <cellStyle name="Percent 3 3 3 2 3" xfId="575" xr:uid="{00000000-0005-0000-0000-00003F020000}"/>
    <cellStyle name="Percent 3 3 3 2 4" xfId="576" xr:uid="{00000000-0005-0000-0000-000040020000}"/>
    <cellStyle name="Percent 3 3 3 3" xfId="577" xr:uid="{00000000-0005-0000-0000-000041020000}"/>
    <cellStyle name="Percent 3 3 4" xfId="578" xr:uid="{00000000-0005-0000-0000-000042020000}"/>
    <cellStyle name="Percent 3 3 5" xfId="579" xr:uid="{00000000-0005-0000-0000-000043020000}"/>
    <cellStyle name="Percent 3 3 5 2" xfId="580" xr:uid="{00000000-0005-0000-0000-000044020000}"/>
    <cellStyle name="Percent 3 3 5 3" xfId="581" xr:uid="{00000000-0005-0000-0000-000045020000}"/>
    <cellStyle name="Percent 3 3 5 4" xfId="582" xr:uid="{00000000-0005-0000-0000-000046020000}"/>
    <cellStyle name="Percent 3 4" xfId="583" xr:uid="{00000000-0005-0000-0000-000047020000}"/>
    <cellStyle name="Percent 3 4 2" xfId="584" xr:uid="{00000000-0005-0000-0000-000048020000}"/>
    <cellStyle name="Percent 3 4 3" xfId="585" xr:uid="{00000000-0005-0000-0000-000049020000}"/>
    <cellStyle name="Percent 3 4 4" xfId="586" xr:uid="{00000000-0005-0000-0000-00004A020000}"/>
    <cellStyle name="Percent 3 4 4 2" xfId="587" xr:uid="{00000000-0005-0000-0000-00004B020000}"/>
    <cellStyle name="Percent 3 4 4 3" xfId="588" xr:uid="{00000000-0005-0000-0000-00004C020000}"/>
    <cellStyle name="Percent 3 4 4 4" xfId="589" xr:uid="{00000000-0005-0000-0000-00004D020000}"/>
    <cellStyle name="Percent 3 4 5" xfId="590" xr:uid="{00000000-0005-0000-0000-00004E020000}"/>
    <cellStyle name="Percent 3 5" xfId="591" xr:uid="{00000000-0005-0000-0000-00004F020000}"/>
    <cellStyle name="Percent 3 5 2" xfId="592" xr:uid="{00000000-0005-0000-0000-000050020000}"/>
    <cellStyle name="Percent 3 6" xfId="593" xr:uid="{00000000-0005-0000-0000-000051020000}"/>
    <cellStyle name="Percent 3 7" xfId="594" xr:uid="{00000000-0005-0000-0000-000052020000}"/>
    <cellStyle name="Percent 3 8" xfId="595" xr:uid="{00000000-0005-0000-0000-000053020000}"/>
    <cellStyle name="Percent 4" xfId="596" xr:uid="{00000000-0005-0000-0000-000054020000}"/>
    <cellStyle name="Percent 4 2" xfId="597" xr:uid="{00000000-0005-0000-0000-000055020000}"/>
    <cellStyle name="Percent 4 2 2" xfId="598" xr:uid="{00000000-0005-0000-0000-000056020000}"/>
    <cellStyle name="Percent 4 2 3" xfId="599" xr:uid="{00000000-0005-0000-0000-000057020000}"/>
    <cellStyle name="Percent 4 3" xfId="600" xr:uid="{00000000-0005-0000-0000-000058020000}"/>
    <cellStyle name="Percent 4 3 2" xfId="601" xr:uid="{00000000-0005-0000-0000-000059020000}"/>
    <cellStyle name="Percent 4 3 2 2" xfId="602" xr:uid="{00000000-0005-0000-0000-00005A020000}"/>
    <cellStyle name="Percent 4 3 2 3" xfId="603" xr:uid="{00000000-0005-0000-0000-00005B020000}"/>
    <cellStyle name="Percent 4 3 2 4" xfId="604" xr:uid="{00000000-0005-0000-0000-00005C020000}"/>
    <cellStyle name="Percent 4 3 3" xfId="605" xr:uid="{00000000-0005-0000-0000-00005D020000}"/>
    <cellStyle name="Percent 4 4" xfId="606" xr:uid="{00000000-0005-0000-0000-00005E020000}"/>
    <cellStyle name="Percent 4 5" xfId="607" xr:uid="{00000000-0005-0000-0000-00005F020000}"/>
    <cellStyle name="Percent 4 5 2" xfId="608" xr:uid="{00000000-0005-0000-0000-000060020000}"/>
    <cellStyle name="Percent 4 5 3" xfId="609" xr:uid="{00000000-0005-0000-0000-000061020000}"/>
    <cellStyle name="Percent 4 5 4" xfId="610" xr:uid="{00000000-0005-0000-0000-000062020000}"/>
    <cellStyle name="Percent 5" xfId="611" xr:uid="{00000000-0005-0000-0000-000063020000}"/>
    <cellStyle name="Percent 5 2" xfId="612" xr:uid="{00000000-0005-0000-0000-000064020000}"/>
    <cellStyle name="Percent 5 3" xfId="613" xr:uid="{00000000-0005-0000-0000-000065020000}"/>
    <cellStyle name="Percent 5 4" xfId="614" xr:uid="{00000000-0005-0000-0000-000066020000}"/>
    <cellStyle name="Percent 5 4 2" xfId="615" xr:uid="{00000000-0005-0000-0000-000067020000}"/>
    <cellStyle name="Percent 5 4 3" xfId="616" xr:uid="{00000000-0005-0000-0000-000068020000}"/>
    <cellStyle name="Percent 5 4 4" xfId="617" xr:uid="{00000000-0005-0000-0000-000069020000}"/>
    <cellStyle name="Percent 5 5" xfId="618" xr:uid="{00000000-0005-0000-0000-00006A020000}"/>
    <cellStyle name="Percent 6" xfId="619" xr:uid="{00000000-0005-0000-0000-00006B020000}"/>
    <cellStyle name="Percent 6 2" xfId="620" xr:uid="{00000000-0005-0000-0000-00006C020000}"/>
    <cellStyle name="Percent 7" xfId="621" xr:uid="{00000000-0005-0000-0000-00006D020000}"/>
    <cellStyle name="Percent 7 2" xfId="622" xr:uid="{00000000-0005-0000-0000-00006E020000}"/>
    <cellStyle name="Percent 7 2 2" xfId="623" xr:uid="{00000000-0005-0000-0000-00006F020000}"/>
    <cellStyle name="Percent 7 2 2 2" xfId="624" xr:uid="{00000000-0005-0000-0000-000070020000}"/>
    <cellStyle name="Percent 7 2 2 2 2" xfId="625" xr:uid="{00000000-0005-0000-0000-000071020000}"/>
    <cellStyle name="Percent 7 2 2 3" xfId="626" xr:uid="{00000000-0005-0000-0000-000072020000}"/>
    <cellStyle name="Percent 7 2 2 3 2" xfId="627" xr:uid="{00000000-0005-0000-0000-000073020000}"/>
    <cellStyle name="Percent 7 2 2 4" xfId="628" xr:uid="{00000000-0005-0000-0000-000074020000}"/>
    <cellStyle name="Percent 7 2 3" xfId="629" xr:uid="{00000000-0005-0000-0000-000075020000}"/>
    <cellStyle name="Percent 7 2 3 2" xfId="630" xr:uid="{00000000-0005-0000-0000-000076020000}"/>
    <cellStyle name="Percent 7 2 4" xfId="631" xr:uid="{00000000-0005-0000-0000-000077020000}"/>
    <cellStyle name="Percent 7 2 4 2" xfId="632" xr:uid="{00000000-0005-0000-0000-000078020000}"/>
    <cellStyle name="Percent 7 2 4 3" xfId="633" xr:uid="{00000000-0005-0000-0000-000079020000}"/>
    <cellStyle name="Percent 7 2 5" xfId="634" xr:uid="{00000000-0005-0000-0000-00007A020000}"/>
    <cellStyle name="Percent 7 2 5 2" xfId="635" xr:uid="{00000000-0005-0000-0000-00007B020000}"/>
    <cellStyle name="Percent 7 3" xfId="636" xr:uid="{00000000-0005-0000-0000-00007C020000}"/>
    <cellStyle name="Percent 7 4" xfId="637" xr:uid="{00000000-0005-0000-0000-00007D020000}"/>
    <cellStyle name="Percent 7 5" xfId="638" xr:uid="{00000000-0005-0000-0000-00007E020000}"/>
    <cellStyle name="Percent 8" xfId="639" xr:uid="{00000000-0005-0000-0000-00007F020000}"/>
    <cellStyle name="Percent 9" xfId="640" xr:uid="{00000000-0005-0000-0000-000080020000}"/>
    <cellStyle name="PSChar" xfId="641" xr:uid="{00000000-0005-0000-0000-000081020000}"/>
    <cellStyle name="PSChar 2" xfId="642" xr:uid="{00000000-0005-0000-0000-000082020000}"/>
    <cellStyle name="PSChar 2 2" xfId="643" xr:uid="{00000000-0005-0000-0000-000083020000}"/>
    <cellStyle name="PSChar 3" xfId="644" xr:uid="{00000000-0005-0000-0000-000084020000}"/>
    <cellStyle name="PSChar 4" xfId="645" xr:uid="{00000000-0005-0000-0000-000085020000}"/>
    <cellStyle name="PSChar 4 2" xfId="646" xr:uid="{00000000-0005-0000-0000-000086020000}"/>
    <cellStyle name="PSChar 5" xfId="647" xr:uid="{00000000-0005-0000-0000-000087020000}"/>
    <cellStyle name="PSChar 5 2" xfId="648" xr:uid="{00000000-0005-0000-0000-000088020000}"/>
    <cellStyle name="PSDate" xfId="649" xr:uid="{00000000-0005-0000-0000-000089020000}"/>
    <cellStyle name="PSDate 2" xfId="650" xr:uid="{00000000-0005-0000-0000-00008A020000}"/>
    <cellStyle name="PSDate 3" xfId="651" xr:uid="{00000000-0005-0000-0000-00008B020000}"/>
    <cellStyle name="PSDate 4" xfId="652" xr:uid="{00000000-0005-0000-0000-00008C020000}"/>
    <cellStyle name="PSDate 4 2" xfId="653" xr:uid="{00000000-0005-0000-0000-00008D020000}"/>
    <cellStyle name="PSDate 5" xfId="654" xr:uid="{00000000-0005-0000-0000-00008E020000}"/>
    <cellStyle name="PSDate 5 2" xfId="655" xr:uid="{00000000-0005-0000-0000-00008F020000}"/>
    <cellStyle name="PSDec" xfId="656" xr:uid="{00000000-0005-0000-0000-000090020000}"/>
    <cellStyle name="PSDec 2" xfId="657" xr:uid="{00000000-0005-0000-0000-000091020000}"/>
    <cellStyle name="PSDec 3" xfId="658" xr:uid="{00000000-0005-0000-0000-000092020000}"/>
    <cellStyle name="PSDec 4" xfId="659" xr:uid="{00000000-0005-0000-0000-000093020000}"/>
    <cellStyle name="PSDec 4 2" xfId="660" xr:uid="{00000000-0005-0000-0000-000094020000}"/>
    <cellStyle name="PSDec 5" xfId="661" xr:uid="{00000000-0005-0000-0000-000095020000}"/>
    <cellStyle name="PSDec 5 2" xfId="662" xr:uid="{00000000-0005-0000-0000-000096020000}"/>
    <cellStyle name="PSdesc" xfId="663" xr:uid="{00000000-0005-0000-0000-000097020000}"/>
    <cellStyle name="PSdesc 2" xfId="664" xr:uid="{00000000-0005-0000-0000-000098020000}"/>
    <cellStyle name="PSHeading" xfId="665" xr:uid="{00000000-0005-0000-0000-000099020000}"/>
    <cellStyle name="PSHeading 2" xfId="666" xr:uid="{00000000-0005-0000-0000-00009A020000}"/>
    <cellStyle name="PSHeading 3" xfId="667" xr:uid="{00000000-0005-0000-0000-00009B020000}"/>
    <cellStyle name="PSHeading 4" xfId="668" xr:uid="{00000000-0005-0000-0000-00009C020000}"/>
    <cellStyle name="PSHeading 5" xfId="669" xr:uid="{00000000-0005-0000-0000-00009D020000}"/>
    <cellStyle name="PSHeading 5 2" xfId="670" xr:uid="{00000000-0005-0000-0000-00009E020000}"/>
    <cellStyle name="PSHeading 6" xfId="671" xr:uid="{00000000-0005-0000-0000-00009F020000}"/>
    <cellStyle name="PSHeading 6 2" xfId="672" xr:uid="{00000000-0005-0000-0000-0000A0020000}"/>
    <cellStyle name="PSInt" xfId="673" xr:uid="{00000000-0005-0000-0000-0000A1020000}"/>
    <cellStyle name="PSInt 2" xfId="674" xr:uid="{00000000-0005-0000-0000-0000A2020000}"/>
    <cellStyle name="PSInt 3" xfId="675" xr:uid="{00000000-0005-0000-0000-0000A3020000}"/>
    <cellStyle name="PSInt 4" xfId="676" xr:uid="{00000000-0005-0000-0000-0000A4020000}"/>
    <cellStyle name="PSInt 4 2" xfId="677" xr:uid="{00000000-0005-0000-0000-0000A5020000}"/>
    <cellStyle name="PSInt 5" xfId="678" xr:uid="{00000000-0005-0000-0000-0000A6020000}"/>
    <cellStyle name="PSInt 5 2" xfId="679" xr:uid="{00000000-0005-0000-0000-0000A7020000}"/>
    <cellStyle name="PSSpacer" xfId="680" xr:uid="{00000000-0005-0000-0000-0000A8020000}"/>
    <cellStyle name="PSSpacer 2" xfId="681" xr:uid="{00000000-0005-0000-0000-0000A9020000}"/>
    <cellStyle name="PSSpacer 3" xfId="682" xr:uid="{00000000-0005-0000-0000-0000AA020000}"/>
    <cellStyle name="PSSpacer 3 2" xfId="683" xr:uid="{00000000-0005-0000-0000-0000AB020000}"/>
    <cellStyle name="PStest" xfId="684" xr:uid="{00000000-0005-0000-0000-0000AC020000}"/>
    <cellStyle name="PStest 2" xfId="685" xr:uid="{00000000-0005-0000-0000-0000AD020000}"/>
    <cellStyle name="R00A" xfId="686" xr:uid="{00000000-0005-0000-0000-0000AE020000}"/>
    <cellStyle name="R00B" xfId="687" xr:uid="{00000000-0005-0000-0000-0000AF020000}"/>
    <cellStyle name="R00L" xfId="688" xr:uid="{00000000-0005-0000-0000-0000B0020000}"/>
    <cellStyle name="R01A" xfId="689" xr:uid="{00000000-0005-0000-0000-0000B1020000}"/>
    <cellStyle name="R01B" xfId="690" xr:uid="{00000000-0005-0000-0000-0000B2020000}"/>
    <cellStyle name="R01H" xfId="691" xr:uid="{00000000-0005-0000-0000-0000B3020000}"/>
    <cellStyle name="R01L" xfId="692" xr:uid="{00000000-0005-0000-0000-0000B4020000}"/>
    <cellStyle name="R02A" xfId="693" xr:uid="{00000000-0005-0000-0000-0000B5020000}"/>
    <cellStyle name="R02B" xfId="694" xr:uid="{00000000-0005-0000-0000-0000B6020000}"/>
    <cellStyle name="R02B 2" xfId="695" xr:uid="{00000000-0005-0000-0000-0000B7020000}"/>
    <cellStyle name="R02H" xfId="696" xr:uid="{00000000-0005-0000-0000-0000B8020000}"/>
    <cellStyle name="R02L" xfId="697" xr:uid="{00000000-0005-0000-0000-0000B9020000}"/>
    <cellStyle name="R03A" xfId="698" xr:uid="{00000000-0005-0000-0000-0000BA020000}"/>
    <cellStyle name="R03B" xfId="699" xr:uid="{00000000-0005-0000-0000-0000BB020000}"/>
    <cellStyle name="R03B 2" xfId="700" xr:uid="{00000000-0005-0000-0000-0000BC020000}"/>
    <cellStyle name="R03H" xfId="701" xr:uid="{00000000-0005-0000-0000-0000BD020000}"/>
    <cellStyle name="R03L" xfId="702" xr:uid="{00000000-0005-0000-0000-0000BE020000}"/>
    <cellStyle name="R04A" xfId="703" xr:uid="{00000000-0005-0000-0000-0000BF020000}"/>
    <cellStyle name="R04B" xfId="704" xr:uid="{00000000-0005-0000-0000-0000C0020000}"/>
    <cellStyle name="R04B 2" xfId="705" xr:uid="{00000000-0005-0000-0000-0000C1020000}"/>
    <cellStyle name="R04H" xfId="706" xr:uid="{00000000-0005-0000-0000-0000C2020000}"/>
    <cellStyle name="R04L" xfId="707" xr:uid="{00000000-0005-0000-0000-0000C3020000}"/>
    <cellStyle name="R05A" xfId="708" xr:uid="{00000000-0005-0000-0000-0000C4020000}"/>
    <cellStyle name="R05B" xfId="709" xr:uid="{00000000-0005-0000-0000-0000C5020000}"/>
    <cellStyle name="R05B 2" xfId="710" xr:uid="{00000000-0005-0000-0000-0000C6020000}"/>
    <cellStyle name="R05H" xfId="711" xr:uid="{00000000-0005-0000-0000-0000C7020000}"/>
    <cellStyle name="R05L" xfId="712" xr:uid="{00000000-0005-0000-0000-0000C8020000}"/>
    <cellStyle name="R05L 2" xfId="713" xr:uid="{00000000-0005-0000-0000-0000C9020000}"/>
    <cellStyle name="R06A" xfId="714" xr:uid="{00000000-0005-0000-0000-0000CA020000}"/>
    <cellStyle name="R06B" xfId="715" xr:uid="{00000000-0005-0000-0000-0000CB020000}"/>
    <cellStyle name="R06B 2" xfId="716" xr:uid="{00000000-0005-0000-0000-0000CC020000}"/>
    <cellStyle name="R06H" xfId="717" xr:uid="{00000000-0005-0000-0000-0000CD020000}"/>
    <cellStyle name="R06L" xfId="718" xr:uid="{00000000-0005-0000-0000-0000CE020000}"/>
    <cellStyle name="R07A" xfId="719" xr:uid="{00000000-0005-0000-0000-0000CF020000}"/>
    <cellStyle name="R07B" xfId="720" xr:uid="{00000000-0005-0000-0000-0000D0020000}"/>
    <cellStyle name="R07B 2" xfId="721" xr:uid="{00000000-0005-0000-0000-0000D1020000}"/>
    <cellStyle name="R07H" xfId="722" xr:uid="{00000000-0005-0000-0000-0000D2020000}"/>
    <cellStyle name="R07L" xfId="723" xr:uid="{00000000-0005-0000-0000-0000D3020000}"/>
    <cellStyle name="Title" xfId="724" builtinId="15" customBuiltin="1"/>
    <cellStyle name="Title 2" xfId="725" xr:uid="{00000000-0005-0000-0000-0000D5020000}"/>
    <cellStyle name="Title 2 2" xfId="726" xr:uid="{00000000-0005-0000-0000-0000D6020000}"/>
    <cellStyle name="Total" xfId="727" builtinId="25" customBuiltin="1"/>
    <cellStyle name="Total 2" xfId="728" xr:uid="{00000000-0005-0000-0000-0000D8020000}"/>
    <cellStyle name="Total 2 2" xfId="729" xr:uid="{00000000-0005-0000-0000-0000D9020000}"/>
    <cellStyle name="Total 3" xfId="730" xr:uid="{00000000-0005-0000-0000-0000DA020000}"/>
    <cellStyle name="Total 3 2" xfId="731" xr:uid="{00000000-0005-0000-0000-0000DB020000}"/>
    <cellStyle name="Warning Text" xfId="732" builtinId="11" customBuiltin="1"/>
    <cellStyle name="Warning Text 2" xfId="733" xr:uid="{00000000-0005-0000-0000-0000DD020000}"/>
    <cellStyle name="Warning Text 2 2" xfId="734" xr:uid="{00000000-0005-0000-0000-0000DE020000}"/>
  </cellStyles>
  <dxfs count="63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28</xdr:row>
      <xdr:rowOff>114300</xdr:rowOff>
    </xdr:from>
    <xdr:to>
      <xdr:col>4</xdr:col>
      <xdr:colOff>495300</xdr:colOff>
      <xdr:row>29</xdr:row>
      <xdr:rowOff>152400</xdr:rowOff>
    </xdr:to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3914775" y="543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B00-0000F52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0978" name="Text Box 1">
          <a:extLst>
            <a:ext uri="{FF2B5EF4-FFF2-40B4-BE49-F238E27FC236}">
              <a16:creationId xmlns:a16="http://schemas.microsoft.com/office/drawing/2014/main" id="{00000000-0008-0000-0C00-0000F25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2004" name="Text Box 1">
          <a:extLst>
            <a:ext uri="{FF2B5EF4-FFF2-40B4-BE49-F238E27FC236}">
              <a16:creationId xmlns:a16="http://schemas.microsoft.com/office/drawing/2014/main" id="{00000000-0008-0000-0D00-0000F45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4050" name="Text Box 1">
          <a:extLst>
            <a:ext uri="{FF2B5EF4-FFF2-40B4-BE49-F238E27FC236}">
              <a16:creationId xmlns:a16="http://schemas.microsoft.com/office/drawing/2014/main" id="{00000000-0008-0000-0E00-0000F25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5074" name="Text Box 1">
          <a:extLst>
            <a:ext uri="{FF2B5EF4-FFF2-40B4-BE49-F238E27FC236}">
              <a16:creationId xmlns:a16="http://schemas.microsoft.com/office/drawing/2014/main" id="{00000000-0008-0000-0F00-0000F26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7119" name="Text Box 1">
          <a:extLst>
            <a:ext uri="{FF2B5EF4-FFF2-40B4-BE49-F238E27FC236}">
              <a16:creationId xmlns:a16="http://schemas.microsoft.com/office/drawing/2014/main" id="{00000000-0008-0000-1000-0000EF6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8088" name="Text Box 1">
          <a:extLst>
            <a:ext uri="{FF2B5EF4-FFF2-40B4-BE49-F238E27FC236}">
              <a16:creationId xmlns:a16="http://schemas.microsoft.com/office/drawing/2014/main" id="{00000000-0008-0000-1100-0000B86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9109" name="Text Box 1">
          <a:extLst>
            <a:ext uri="{FF2B5EF4-FFF2-40B4-BE49-F238E27FC236}">
              <a16:creationId xmlns:a16="http://schemas.microsoft.com/office/drawing/2014/main" id="{00000000-0008-0000-1200-0000B57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0080" name="Text Box 1">
          <a:extLst>
            <a:ext uri="{FF2B5EF4-FFF2-40B4-BE49-F238E27FC236}">
              <a16:creationId xmlns:a16="http://schemas.microsoft.com/office/drawing/2014/main" id="{00000000-0008-0000-1300-0000807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1104" name="Text Box 1">
          <a:extLst>
            <a:ext uri="{FF2B5EF4-FFF2-40B4-BE49-F238E27FC236}">
              <a16:creationId xmlns:a16="http://schemas.microsoft.com/office/drawing/2014/main" id="{00000000-0008-0000-1400-0000807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8147" name="Text Box 1">
          <a:extLst>
            <a:ext uri="{FF2B5EF4-FFF2-40B4-BE49-F238E27FC236}">
              <a16:creationId xmlns:a16="http://schemas.microsoft.com/office/drawing/2014/main" id="{00000000-0008-0000-1500-0000039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9171" name="Text Box 1">
          <a:extLst>
            <a:ext uri="{FF2B5EF4-FFF2-40B4-BE49-F238E27FC236}">
              <a16:creationId xmlns:a16="http://schemas.microsoft.com/office/drawing/2014/main" id="{00000000-0008-0000-1600-0000039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40195" name="Text Box 1">
          <a:extLst>
            <a:ext uri="{FF2B5EF4-FFF2-40B4-BE49-F238E27FC236}">
              <a16:creationId xmlns:a16="http://schemas.microsoft.com/office/drawing/2014/main" id="{00000000-0008-0000-1700-0000039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41219" name="Text Box 1">
          <a:extLst>
            <a:ext uri="{FF2B5EF4-FFF2-40B4-BE49-F238E27FC236}">
              <a16:creationId xmlns:a16="http://schemas.microsoft.com/office/drawing/2014/main" id="{00000000-0008-0000-1800-000003A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3102" name="Text Box 1">
          <a:extLst>
            <a:ext uri="{FF2B5EF4-FFF2-40B4-BE49-F238E27FC236}">
              <a16:creationId xmlns:a16="http://schemas.microsoft.com/office/drawing/2014/main" id="{00000000-0008-0000-1900-00005EA8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4126" name="Text Box 1">
          <a:extLst>
            <a:ext uri="{FF2B5EF4-FFF2-40B4-BE49-F238E27FC236}">
              <a16:creationId xmlns:a16="http://schemas.microsoft.com/office/drawing/2014/main" id="{00000000-0008-0000-1A00-00005EAC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48143" name="Text Box 1">
          <a:extLst>
            <a:ext uri="{FF2B5EF4-FFF2-40B4-BE49-F238E27FC236}">
              <a16:creationId xmlns:a16="http://schemas.microsoft.com/office/drawing/2014/main" id="{00000000-0008-0000-1B00-00000FBC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49167" name="Text Box 1">
          <a:extLst>
            <a:ext uri="{FF2B5EF4-FFF2-40B4-BE49-F238E27FC236}">
              <a16:creationId xmlns:a16="http://schemas.microsoft.com/office/drawing/2014/main" id="{00000000-0008-0000-1C00-00000FC0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0191" name="Text Box 1">
          <a:extLst>
            <a:ext uri="{FF2B5EF4-FFF2-40B4-BE49-F238E27FC236}">
              <a16:creationId xmlns:a16="http://schemas.microsoft.com/office/drawing/2014/main" id="{00000000-0008-0000-1D00-00000FC4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1215" name="Text Box 1">
          <a:extLst>
            <a:ext uri="{FF2B5EF4-FFF2-40B4-BE49-F238E27FC236}">
              <a16:creationId xmlns:a16="http://schemas.microsoft.com/office/drawing/2014/main" id="{00000000-0008-0000-1E00-00000FC8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400-0000F40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00000000-0008-0000-2000-0000F33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500-0000F41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00000000-0008-0000-0600-00000716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00000000-0008-0000-0700-0000F51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800-0000F51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00000000-0008-0000-0900-0000F22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00000000-0008-0000-0A00-0000F42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/dbw/SWPP%20Form%20Rate/Lila%20added/AEP%20SPP%20For%20Rate%20Proj%20w%2013%20mth%20rate%20base%20june-07%20-%20June-08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94"/>
  <sheetViews>
    <sheetView zoomScale="70" zoomScaleNormal="70" zoomScaleSheetLayoutView="75" workbookViewId="0">
      <selection activeCell="B3" sqref="B3"/>
    </sheetView>
  </sheetViews>
  <sheetFormatPr defaultColWidth="8.7109375" defaultRowHeight="12.75" customHeight="1"/>
  <cols>
    <col min="1" max="1" width="7.42578125" style="148" customWidth="1"/>
    <col min="2" max="2" width="7" style="148" bestFit="1" customWidth="1"/>
    <col min="3" max="3" width="43.140625" style="148" customWidth="1"/>
    <col min="4" max="4" width="9.5703125" style="148" customWidth="1"/>
    <col min="5" max="7" width="15.42578125" style="148" bestFit="1" customWidth="1"/>
    <col min="8" max="8" width="2.85546875" style="148" customWidth="1"/>
    <col min="9" max="9" width="13.5703125" style="148" bestFit="1" customWidth="1"/>
    <col min="10" max="10" width="13.28515625" style="148" customWidth="1"/>
    <col min="11" max="11" width="12.85546875" style="148" bestFit="1" customWidth="1"/>
    <col min="12" max="12" width="15.28515625" style="148" customWidth="1"/>
    <col min="13" max="13" width="2.42578125" style="148" customWidth="1"/>
    <col min="14" max="14" width="6.140625" style="148" customWidth="1"/>
    <col min="15" max="15" width="8.7109375" style="148" customWidth="1"/>
    <col min="16" max="16" width="10.7109375" style="148" customWidth="1"/>
    <col min="17" max="17" width="14.42578125" style="148" customWidth="1"/>
    <col min="18" max="18" width="18.7109375" style="148" customWidth="1"/>
    <col min="19" max="19" width="2.42578125" style="148" customWidth="1"/>
    <col min="20" max="20" width="19.140625" style="148" bestFit="1" customWidth="1"/>
    <col min="21" max="21" width="8.7109375" style="148"/>
    <col min="22" max="22" width="13.85546875" style="148" customWidth="1"/>
    <col min="23" max="28" width="8.7109375" style="148"/>
    <col min="29" max="29" width="9.140625" style="148" customWidth="1"/>
    <col min="30" max="16384" width="8.7109375" style="148"/>
  </cols>
  <sheetData>
    <row r="1" spans="1:23" ht="15">
      <c r="H1" s="149" t="s">
        <v>157</v>
      </c>
      <c r="U1" s="148">
        <v>2021</v>
      </c>
    </row>
    <row r="2" spans="1:23" ht="15">
      <c r="H2" s="150" t="s">
        <v>189</v>
      </c>
      <c r="U2" s="148">
        <f>+U1+1</f>
        <v>2022</v>
      </c>
    </row>
    <row r="3" spans="1:23" ht="15">
      <c r="H3" s="151" t="str">
        <f>"For Calendar Year "&amp;U1&amp;" and Projected Year "&amp;U1+1</f>
        <v>For Calendar Year 2021 and Projected Year 2022</v>
      </c>
    </row>
    <row r="4" spans="1:23" ht="15">
      <c r="H4" s="152"/>
    </row>
    <row r="5" spans="1:23" ht="15.75">
      <c r="H5" s="153" t="s">
        <v>158</v>
      </c>
    </row>
    <row r="7" spans="1:23" ht="18">
      <c r="C7" s="154"/>
      <c r="E7" s="154"/>
      <c r="F7" s="154"/>
      <c r="G7" s="154"/>
      <c r="H7" s="154" t="s">
        <v>124</v>
      </c>
      <c r="I7" s="154"/>
      <c r="J7" s="154"/>
      <c r="K7" s="154"/>
      <c r="L7" s="154"/>
    </row>
    <row r="8" spans="1:23">
      <c r="D8" s="155"/>
    </row>
    <row r="9" spans="1:23">
      <c r="A9" s="148" t="s">
        <v>260</v>
      </c>
    </row>
    <row r="12" spans="1:23" ht="22.5" customHeight="1">
      <c r="A12" s="156" t="s">
        <v>159</v>
      </c>
      <c r="B12" s="156" t="s">
        <v>160</v>
      </c>
      <c r="C12" s="157" t="s">
        <v>161</v>
      </c>
      <c r="D12" s="156" t="s">
        <v>162</v>
      </c>
      <c r="E12" s="156" t="s">
        <v>163</v>
      </c>
      <c r="F12" s="156" t="s">
        <v>164</v>
      </c>
      <c r="G12" s="156" t="str">
        <f>"(G) = "&amp;E12&amp;" + "&amp;F12</f>
        <v>(G) = (E) + (F)</v>
      </c>
      <c r="H12" s="156"/>
      <c r="I12" s="156" t="s">
        <v>165</v>
      </c>
      <c r="J12" s="156" t="s">
        <v>166</v>
      </c>
      <c r="K12" s="158" t="s">
        <v>197</v>
      </c>
      <c r="L12" s="156" t="str">
        <f>"(K) = "&amp;J12&amp;" - "&amp;K12</f>
        <v>(K) = (I) - (J)</v>
      </c>
      <c r="M12" s="156"/>
      <c r="N12" s="156" t="s">
        <v>198</v>
      </c>
      <c r="O12" s="156" t="s">
        <v>167</v>
      </c>
      <c r="P12" s="156" t="str">
        <f>"(N) = "&amp;N12&amp;"-"&amp;O12</f>
        <v>(N) = (L)-(M)</v>
      </c>
      <c r="Q12" s="156" t="s">
        <v>199</v>
      </c>
      <c r="R12" s="156" t="str">
        <f>"(P) = "&amp;I12&amp;"+"&amp;LEFT(L12,3)&amp;"+"&amp;LEFT(P12,3)&amp;"+"&amp;Q12</f>
        <v>(P) = (H)+(K)+(N)+(O)</v>
      </c>
      <c r="S12" s="156"/>
      <c r="T12" s="156" t="str">
        <f>"(Q) = "&amp;LEFT(G12,3)&amp;" + "&amp;LEFT(R12,3)</f>
        <v>(Q) = (G) + (P)</v>
      </c>
      <c r="U12" s="156"/>
      <c r="V12" s="159"/>
      <c r="W12" s="159"/>
    </row>
    <row r="13" spans="1:23" ht="16.5" customHeight="1">
      <c r="A13" s="160"/>
      <c r="B13" s="160"/>
      <c r="C13" s="160"/>
      <c r="D13" s="160"/>
      <c r="E13" s="634" t="str">
        <f>"Projected ARR For "&amp;U2&amp;" From WS-F"</f>
        <v>Projected ARR For 2022 From WS-F</v>
      </c>
      <c r="F13" s="634"/>
      <c r="G13" s="634"/>
      <c r="H13" s="160"/>
      <c r="I13" s="161" t="s">
        <v>349</v>
      </c>
      <c r="J13" s="161"/>
      <c r="K13" s="161"/>
      <c r="L13" s="161"/>
      <c r="M13" s="161"/>
      <c r="N13" s="161"/>
      <c r="O13" s="161"/>
      <c r="P13" s="161"/>
      <c r="Q13" s="161"/>
      <c r="R13" s="162"/>
      <c r="S13" s="160"/>
      <c r="T13" s="160"/>
      <c r="U13" s="160"/>
    </row>
    <row r="14" spans="1:23" ht="18" customHeight="1">
      <c r="I14" s="163"/>
      <c r="T14" s="635" t="str">
        <f>"Total ADJUSTED Revenue Requirement Effective
1/1/"&amp;U2&amp;""</f>
        <v>Total ADJUSTED Revenue Requirement Effective
1/1/2022</v>
      </c>
    </row>
    <row r="15" spans="1:23" ht="18" customHeight="1" thickBot="1">
      <c r="D15" s="160"/>
      <c r="E15" s="164"/>
      <c r="F15" s="164"/>
      <c r="G15" s="164"/>
      <c r="I15" s="161" t="s">
        <v>168</v>
      </c>
      <c r="J15" s="165"/>
      <c r="K15" s="165"/>
      <c r="L15" s="165"/>
      <c r="M15" s="166"/>
      <c r="N15" s="161" t="s">
        <v>196</v>
      </c>
      <c r="O15" s="167"/>
      <c r="P15" s="167"/>
      <c r="Q15" s="168"/>
      <c r="T15" s="635"/>
    </row>
    <row r="16" spans="1:23" ht="69" customHeight="1">
      <c r="A16" s="169" t="s">
        <v>179</v>
      </c>
      <c r="B16" s="170" t="s">
        <v>169</v>
      </c>
      <c r="C16" s="170" t="s">
        <v>131</v>
      </c>
      <c r="D16" s="171" t="s">
        <v>170</v>
      </c>
      <c r="E16" s="172" t="s">
        <v>194</v>
      </c>
      <c r="F16" s="173" t="s">
        <v>171</v>
      </c>
      <c r="G16" s="173" t="s">
        <v>172</v>
      </c>
      <c r="I16" s="174" t="s">
        <v>193</v>
      </c>
      <c r="J16" s="174" t="s">
        <v>223</v>
      </c>
      <c r="K16" s="174" t="s">
        <v>213</v>
      </c>
      <c r="L16" s="174" t="s">
        <v>195</v>
      </c>
      <c r="M16" s="174"/>
      <c r="N16" s="175" t="s">
        <v>173</v>
      </c>
      <c r="O16" s="175" t="s">
        <v>174</v>
      </c>
      <c r="P16" s="176" t="s">
        <v>175</v>
      </c>
      <c r="Q16" s="176" t="s">
        <v>176</v>
      </c>
      <c r="R16" s="172" t="s">
        <v>220</v>
      </c>
      <c r="T16" s="635"/>
      <c r="V16" s="177" t="s">
        <v>200</v>
      </c>
    </row>
    <row r="17" spans="1:23">
      <c r="B17" s="160"/>
      <c r="C17" s="160"/>
      <c r="E17" s="178"/>
      <c r="F17" s="178"/>
      <c r="G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T17" s="178"/>
      <c r="V17" s="179"/>
    </row>
    <row r="18" spans="1:23">
      <c r="A18" s="156" t="s">
        <v>178</v>
      </c>
      <c r="B18" s="156" t="s">
        <v>117</v>
      </c>
      <c r="C18" s="180" t="str">
        <f t="shared" ref="C18:D46" ca="1" si="0">INDIRECT("'"&amp; $A18 &amp; "'!" &amp;C$55)</f>
        <v>Riverside-Glenpool (81-523) Reconductor</v>
      </c>
      <c r="D18" s="181">
        <f t="shared" ca="1" si="0"/>
        <v>2009</v>
      </c>
      <c r="E18" s="182">
        <v>0</v>
      </c>
      <c r="F18" s="183">
        <f t="shared" ref="F18:F45" ca="1" si="1">INDIRECT("'"&amp; $A18 &amp; "'!" &amp;F$55)</f>
        <v>0</v>
      </c>
      <c r="G18" s="183">
        <f t="shared" ref="G18:G27" ca="1" si="2">+E18+F18</f>
        <v>0</v>
      </c>
      <c r="H18" s="184"/>
      <c r="I18" s="185">
        <f t="shared" ref="I18:I46" ca="1" si="3">INDIRECT("'"&amp; $A18 &amp; "'!" &amp;I$55)</f>
        <v>5443.2067436068755</v>
      </c>
      <c r="J18" s="186">
        <v>91727.817291452768</v>
      </c>
      <c r="K18" s="186">
        <f t="shared" ref="K18:K45" si="4">J18/J$48*K$48</f>
        <v>91551.69061581495</v>
      </c>
      <c r="L18" s="182">
        <f t="shared" ref="L18:L27" si="5">+J18-K18</f>
        <v>176.12667563781724</v>
      </c>
      <c r="M18" s="182"/>
      <c r="N18" s="183">
        <v>0</v>
      </c>
      <c r="O18" s="183">
        <v>0</v>
      </c>
      <c r="P18" s="183">
        <f t="shared" ref="P18:P26" si="6">+N18-O18</f>
        <v>0</v>
      </c>
      <c r="Q18" s="182">
        <f t="shared" ref="Q18:Q43" ca="1" si="7">+V18/$V$48 * $Q$48</f>
        <v>377.695237874523</v>
      </c>
      <c r="R18" s="187">
        <f t="shared" ref="R18:R27" ca="1" si="8">I18+L18+P18+Q18</f>
        <v>5997.0286571192155</v>
      </c>
      <c r="S18" s="187"/>
      <c r="T18" s="188">
        <f t="shared" ref="T18:T27" ca="1" si="9">+G18+R18</f>
        <v>5997.0286571192155</v>
      </c>
      <c r="V18" s="189">
        <f t="shared" ref="V18:V27" ca="1" si="10">+I18+L18+P18</f>
        <v>5619.3334192446928</v>
      </c>
      <c r="W18" s="159" t="str">
        <f>A18</f>
        <v>P.001</v>
      </c>
    </row>
    <row r="19" spans="1:23" ht="25.5">
      <c r="A19" s="156" t="s">
        <v>180</v>
      </c>
      <c r="B19" s="156" t="s">
        <v>117</v>
      </c>
      <c r="C19" s="180" t="str">
        <f t="shared" ca="1" si="0"/>
        <v>Craig Jct. to Broken Bow Dam 138 Rebuild (7.7mi)</v>
      </c>
      <c r="D19" s="181">
        <f t="shared" ca="1" si="0"/>
        <v>2009</v>
      </c>
      <c r="E19" s="182">
        <v>0</v>
      </c>
      <c r="F19" s="183">
        <f t="shared" ca="1" si="1"/>
        <v>0</v>
      </c>
      <c r="G19" s="183">
        <f t="shared" ca="1" si="2"/>
        <v>0</v>
      </c>
      <c r="H19" s="184"/>
      <c r="I19" s="185">
        <f t="shared" ca="1" si="3"/>
        <v>32651.992581725412</v>
      </c>
      <c r="J19" s="186">
        <v>481256.18162662158</v>
      </c>
      <c r="K19" s="186">
        <f t="shared" si="4"/>
        <v>480332.12114090513</v>
      </c>
      <c r="L19" s="182">
        <f t="shared" si="5"/>
        <v>924.06048571644351</v>
      </c>
      <c r="M19" s="182"/>
      <c r="N19" s="183">
        <v>0</v>
      </c>
      <c r="O19" s="183">
        <v>0</v>
      </c>
      <c r="P19" s="183">
        <f t="shared" si="6"/>
        <v>0</v>
      </c>
      <c r="Q19" s="182">
        <f t="shared" ca="1" si="7"/>
        <v>2256.7650651880363</v>
      </c>
      <c r="R19" s="187">
        <f t="shared" ca="1" si="8"/>
        <v>35832.818132629895</v>
      </c>
      <c r="S19" s="187"/>
      <c r="T19" s="190">
        <f t="shared" ca="1" si="9"/>
        <v>35832.818132629895</v>
      </c>
      <c r="V19" s="189">
        <f t="shared" ca="1" si="10"/>
        <v>33576.053067441855</v>
      </c>
      <c r="W19" s="159" t="str">
        <f t="shared" ref="W19:W25" si="11">A19</f>
        <v>P.002</v>
      </c>
    </row>
    <row r="20" spans="1:23" ht="25.5">
      <c r="A20" s="156" t="s">
        <v>181</v>
      </c>
      <c r="B20" s="156" t="s">
        <v>117</v>
      </c>
      <c r="C20" s="191" t="str">
        <f t="shared" ca="1" si="0"/>
        <v>WFEC New 138 kV Ties: Sayre to Erick (WFEC) Line &amp; Atoka and Tupelo station work</v>
      </c>
      <c r="D20" s="181">
        <f t="shared" ca="1" si="0"/>
        <v>2009</v>
      </c>
      <c r="E20" s="182">
        <v>0</v>
      </c>
      <c r="F20" s="183">
        <f t="shared" ca="1" si="1"/>
        <v>0</v>
      </c>
      <c r="G20" s="183">
        <f t="shared" ca="1" si="2"/>
        <v>0</v>
      </c>
      <c r="H20" s="184"/>
      <c r="I20" s="185">
        <f t="shared" ca="1" si="3"/>
        <v>75252.094974457752</v>
      </c>
      <c r="J20" s="186">
        <v>1178453.2759963626</v>
      </c>
      <c r="K20" s="186">
        <f t="shared" si="4"/>
        <v>1176190.5266578903</v>
      </c>
      <c r="L20" s="182">
        <f t="shared" si="5"/>
        <v>2262.749338472262</v>
      </c>
      <c r="M20" s="182"/>
      <c r="N20" s="183">
        <v>0</v>
      </c>
      <c r="O20" s="183">
        <v>0</v>
      </c>
      <c r="P20" s="183">
        <f t="shared" si="6"/>
        <v>0</v>
      </c>
      <c r="Q20" s="182">
        <f t="shared" ca="1" si="7"/>
        <v>5210.0463484357379</v>
      </c>
      <c r="R20" s="187">
        <f t="shared" ca="1" si="8"/>
        <v>82724.890661365745</v>
      </c>
      <c r="S20" s="187"/>
      <c r="T20" s="190">
        <f t="shared" ca="1" si="9"/>
        <v>82724.890661365745</v>
      </c>
      <c r="V20" s="189">
        <f t="shared" ca="1" si="10"/>
        <v>77514.844312930014</v>
      </c>
      <c r="W20" s="159" t="str">
        <f t="shared" si="11"/>
        <v>P.003</v>
      </c>
    </row>
    <row r="21" spans="1:23" ht="25.5">
      <c r="A21" s="156" t="s">
        <v>182</v>
      </c>
      <c r="B21" s="156" t="s">
        <v>117</v>
      </c>
      <c r="C21" s="191" t="str">
        <f t="shared" ca="1" si="0"/>
        <v>Cache-Snyder to Altus Jct. 138 kV line (w/2 ring bus stations)</v>
      </c>
      <c r="D21" s="181">
        <f t="shared" ca="1" si="0"/>
        <v>2008</v>
      </c>
      <c r="E21" s="182">
        <v>0</v>
      </c>
      <c r="F21" s="183">
        <f t="shared" ca="1" si="1"/>
        <v>0</v>
      </c>
      <c r="G21" s="183">
        <f t="shared" ca="1" si="2"/>
        <v>0</v>
      </c>
      <c r="H21" s="184"/>
      <c r="I21" s="185">
        <f t="shared" ca="1" si="3"/>
        <v>83445.421236010501</v>
      </c>
      <c r="J21" s="186">
        <v>1456052.4710588835</v>
      </c>
      <c r="K21" s="186">
        <f t="shared" si="4"/>
        <v>1453256.7032225356</v>
      </c>
      <c r="L21" s="182">
        <f t="shared" si="5"/>
        <v>2795.7678363479208</v>
      </c>
      <c r="M21" s="182"/>
      <c r="N21" s="183">
        <v>0</v>
      </c>
      <c r="O21" s="183">
        <v>0</v>
      </c>
      <c r="P21" s="183">
        <f t="shared" si="6"/>
        <v>0</v>
      </c>
      <c r="Q21" s="182">
        <f t="shared" ca="1" si="7"/>
        <v>5796.574787627449</v>
      </c>
      <c r="R21" s="187">
        <f t="shared" ca="1" si="8"/>
        <v>92037.763859985876</v>
      </c>
      <c r="S21" s="187"/>
      <c r="T21" s="190">
        <f t="shared" ca="1" si="9"/>
        <v>92037.763859985876</v>
      </c>
      <c r="V21" s="189">
        <f t="shared" ca="1" si="10"/>
        <v>86241.189072358422</v>
      </c>
      <c r="W21" s="159" t="str">
        <f t="shared" si="11"/>
        <v>P.004</v>
      </c>
    </row>
    <row r="22" spans="1:23">
      <c r="A22" s="158" t="s">
        <v>183</v>
      </c>
      <c r="B22" s="156" t="s">
        <v>117</v>
      </c>
      <c r="C22" s="191" t="str">
        <f t="shared" ca="1" si="0"/>
        <v>Catoosa 138 kV Device (Cap. Bank)</v>
      </c>
      <c r="D22" s="181">
        <f t="shared" ca="1" si="0"/>
        <v>2006</v>
      </c>
      <c r="E22" s="182">
        <v>0</v>
      </c>
      <c r="F22" s="183">
        <f t="shared" ca="1" si="1"/>
        <v>0</v>
      </c>
      <c r="G22" s="183">
        <f t="shared" ca="1" si="2"/>
        <v>0</v>
      </c>
      <c r="H22" s="184"/>
      <c r="I22" s="185">
        <f t="shared" ca="1" si="3"/>
        <v>2428.2641372449725</v>
      </c>
      <c r="J22" s="186">
        <v>37473.160696146493</v>
      </c>
      <c r="K22" s="186">
        <f t="shared" si="4"/>
        <v>37401.208442032745</v>
      </c>
      <c r="L22" s="182">
        <f t="shared" si="5"/>
        <v>71.952254113748495</v>
      </c>
      <c r="M22" s="182"/>
      <c r="N22" s="183">
        <v>0</v>
      </c>
      <c r="O22" s="183">
        <v>0</v>
      </c>
      <c r="P22" s="183">
        <f t="shared" si="6"/>
        <v>0</v>
      </c>
      <c r="Q22" s="182">
        <f t="shared" ca="1" si="7"/>
        <v>168.04837054835977</v>
      </c>
      <c r="R22" s="187">
        <f t="shared" ca="1" si="8"/>
        <v>2668.2647619070808</v>
      </c>
      <c r="S22" s="187"/>
      <c r="T22" s="190">
        <f t="shared" ca="1" si="9"/>
        <v>2668.2647619070808</v>
      </c>
      <c r="V22" s="189">
        <f t="shared" ca="1" si="10"/>
        <v>2500.216391358721</v>
      </c>
      <c r="W22" s="159" t="str">
        <f t="shared" si="11"/>
        <v>P.005</v>
      </c>
    </row>
    <row r="23" spans="1:23">
      <c r="A23" s="156" t="s">
        <v>184</v>
      </c>
      <c r="B23" s="156" t="s">
        <v>117</v>
      </c>
      <c r="C23" s="191" t="str">
        <f t="shared" ca="1" si="0"/>
        <v>Pryor Junction 138/69 Upgrade Transf</v>
      </c>
      <c r="D23" s="181">
        <f t="shared" ca="1" si="0"/>
        <v>2008</v>
      </c>
      <c r="E23" s="182">
        <v>0</v>
      </c>
      <c r="F23" s="183">
        <f t="shared" ca="1" si="1"/>
        <v>0</v>
      </c>
      <c r="G23" s="183">
        <f t="shared" ca="1" si="2"/>
        <v>0</v>
      </c>
      <c r="H23" s="184"/>
      <c r="I23" s="185">
        <f t="shared" ca="1" si="3"/>
        <v>9691.1520608828869</v>
      </c>
      <c r="J23" s="186">
        <v>152688.48796992991</v>
      </c>
      <c r="K23" s="186">
        <f t="shared" si="4"/>
        <v>152395.31064827988</v>
      </c>
      <c r="L23" s="182">
        <f t="shared" si="5"/>
        <v>293.17732165002963</v>
      </c>
      <c r="M23" s="182"/>
      <c r="N23" s="183">
        <v>0</v>
      </c>
      <c r="O23" s="183">
        <v>0</v>
      </c>
      <c r="P23" s="183">
        <f t="shared" si="6"/>
        <v>0</v>
      </c>
      <c r="Q23" s="182">
        <f t="shared" ca="1" si="7"/>
        <v>671.08202696045612</v>
      </c>
      <c r="R23" s="187">
        <f t="shared" ca="1" si="8"/>
        <v>10655.411409493372</v>
      </c>
      <c r="S23" s="187"/>
      <c r="T23" s="190">
        <f t="shared" ca="1" si="9"/>
        <v>10655.411409493372</v>
      </c>
      <c r="V23" s="189">
        <f t="shared" ca="1" si="10"/>
        <v>9984.3293825329165</v>
      </c>
      <c r="W23" s="159" t="str">
        <f t="shared" si="11"/>
        <v>P.006</v>
      </c>
    </row>
    <row r="24" spans="1:23">
      <c r="A24" s="156" t="s">
        <v>185</v>
      </c>
      <c r="B24" s="156" t="s">
        <v>117</v>
      </c>
      <c r="C24" s="191" t="str">
        <f t="shared" ca="1" si="0"/>
        <v>Elk City - Elk City 69 kV line (CT Upgrades)*</v>
      </c>
      <c r="D24" s="181">
        <f t="shared" ca="1" si="0"/>
        <v>2007</v>
      </c>
      <c r="E24" s="182">
        <v>0</v>
      </c>
      <c r="F24" s="183">
        <f t="shared" ca="1" si="1"/>
        <v>0</v>
      </c>
      <c r="G24" s="183">
        <f t="shared" ca="1" si="2"/>
        <v>0</v>
      </c>
      <c r="H24" s="184"/>
      <c r="I24" s="185">
        <f t="shared" ca="1" si="3"/>
        <v>516.94739965127155</v>
      </c>
      <c r="J24" s="186">
        <v>8416.5752327843857</v>
      </c>
      <c r="K24" s="186">
        <f t="shared" si="4"/>
        <v>8400.4145580863715</v>
      </c>
      <c r="L24" s="182">
        <f t="shared" si="5"/>
        <v>16.160674698014191</v>
      </c>
      <c r="M24" s="182"/>
      <c r="N24" s="183">
        <v>0</v>
      </c>
      <c r="O24" s="183">
        <v>0</v>
      </c>
      <c r="P24" s="183">
        <f t="shared" si="6"/>
        <v>0</v>
      </c>
      <c r="Q24" s="182">
        <f t="shared" ca="1" si="7"/>
        <v>35.832075787602328</v>
      </c>
      <c r="R24" s="187">
        <f t="shared" ca="1" si="8"/>
        <v>568.94015013688806</v>
      </c>
      <c r="S24" s="192" t="s">
        <v>224</v>
      </c>
      <c r="T24" s="190">
        <f t="shared" ca="1" si="9"/>
        <v>568.94015013688806</v>
      </c>
      <c r="V24" s="189">
        <f t="shared" ca="1" si="10"/>
        <v>533.10807434928574</v>
      </c>
      <c r="W24" s="159" t="str">
        <f t="shared" si="11"/>
        <v>P.007</v>
      </c>
    </row>
    <row r="25" spans="1:23" ht="25.5">
      <c r="A25" s="156" t="s">
        <v>186</v>
      </c>
      <c r="B25" s="156" t="s">
        <v>117</v>
      </c>
      <c r="C25" s="191" t="str">
        <f t="shared" ca="1" si="0"/>
        <v>Weleetka &amp; Okmulgee Wavetrap replacement 81-805*</v>
      </c>
      <c r="D25" s="181">
        <f t="shared" ca="1" si="0"/>
        <v>2006</v>
      </c>
      <c r="E25" s="182">
        <v>0</v>
      </c>
      <c r="F25" s="183">
        <f t="shared" ca="1" si="1"/>
        <v>0</v>
      </c>
      <c r="G25" s="183">
        <f t="shared" ca="1" si="2"/>
        <v>0</v>
      </c>
      <c r="H25" s="184"/>
      <c r="I25" s="185">
        <f t="shared" ca="1" si="3"/>
        <v>412.33739935454378</v>
      </c>
      <c r="J25" s="186">
        <v>5500.0635383819654</v>
      </c>
      <c r="K25" s="186">
        <f t="shared" si="4"/>
        <v>5489.5028607662098</v>
      </c>
      <c r="L25" s="182">
        <f t="shared" si="5"/>
        <v>10.560677615755594</v>
      </c>
      <c r="M25" s="182"/>
      <c r="N25" s="183">
        <v>0</v>
      </c>
      <c r="O25" s="183">
        <v>0</v>
      </c>
      <c r="P25" s="183">
        <f t="shared" si="6"/>
        <v>0</v>
      </c>
      <c r="Q25" s="182">
        <f t="shared" ca="1" si="7"/>
        <v>28.424472773043743</v>
      </c>
      <c r="R25" s="187">
        <f t="shared" ca="1" si="8"/>
        <v>451.32254974334313</v>
      </c>
      <c r="S25" s="192" t="s">
        <v>224</v>
      </c>
      <c r="T25" s="190">
        <f t="shared" ca="1" si="9"/>
        <v>451.32254974334313</v>
      </c>
      <c r="V25" s="189">
        <f ca="1">+I25+L25+P25</f>
        <v>422.89807697029937</v>
      </c>
      <c r="W25" s="159" t="str">
        <f t="shared" si="11"/>
        <v>P.008</v>
      </c>
    </row>
    <row r="26" spans="1:23">
      <c r="A26" s="156" t="s">
        <v>187</v>
      </c>
      <c r="B26" s="156" t="s">
        <v>117</v>
      </c>
      <c r="C26" s="191" t="str">
        <f t="shared" ca="1" si="0"/>
        <v>Tulsa Southeast Upgrade (repl switches)*</v>
      </c>
      <c r="D26" s="181">
        <f t="shared" ca="1" si="0"/>
        <v>2007</v>
      </c>
      <c r="E26" s="182">
        <v>0</v>
      </c>
      <c r="F26" s="183">
        <f t="shared" ca="1" si="1"/>
        <v>0</v>
      </c>
      <c r="G26" s="183">
        <f t="shared" ca="1" si="2"/>
        <v>0</v>
      </c>
      <c r="H26" s="184"/>
      <c r="I26" s="185">
        <f t="shared" ca="1" si="3"/>
        <v>537.50332702089963</v>
      </c>
      <c r="J26" s="186">
        <v>7253.6582297390214</v>
      </c>
      <c r="K26" s="186">
        <f t="shared" si="4"/>
        <v>7239.7304731659242</v>
      </c>
      <c r="L26" s="182">
        <f t="shared" si="5"/>
        <v>13.927756573097213</v>
      </c>
      <c r="M26" s="182"/>
      <c r="N26" s="183">
        <v>0</v>
      </c>
      <c r="O26" s="183">
        <v>0</v>
      </c>
      <c r="P26" s="183">
        <f t="shared" si="6"/>
        <v>0</v>
      </c>
      <c r="Q26" s="182">
        <f t="shared" ca="1" si="7"/>
        <v>37.063629927379367</v>
      </c>
      <c r="R26" s="187">
        <f t="shared" ca="1" si="8"/>
        <v>588.49471352137618</v>
      </c>
      <c r="S26" s="192" t="s">
        <v>224</v>
      </c>
      <c r="T26" s="190">
        <f t="shared" ca="1" si="9"/>
        <v>588.49471352137618</v>
      </c>
      <c r="V26" s="189">
        <f t="shared" ca="1" si="10"/>
        <v>551.43108359399685</v>
      </c>
      <c r="W26" s="159" t="str">
        <f t="shared" ref="W26:W31" si="12">A26</f>
        <v>P.009</v>
      </c>
    </row>
    <row r="27" spans="1:23">
      <c r="A27" s="156" t="s">
        <v>222</v>
      </c>
      <c r="B27" s="156" t="s">
        <v>117</v>
      </c>
      <c r="C27" s="193" t="str">
        <f t="shared" ca="1" si="0"/>
        <v>Wavetrap Clinton City-Foss Tap 69kV Ckt 1*</v>
      </c>
      <c r="D27" s="181">
        <f t="shared" ca="1" si="0"/>
        <v>2010</v>
      </c>
      <c r="E27" s="182">
        <v>0</v>
      </c>
      <c r="F27" s="183">
        <f t="shared" ca="1" si="1"/>
        <v>0</v>
      </c>
      <c r="G27" s="183">
        <f t="shared" ca="1" si="2"/>
        <v>0</v>
      </c>
      <c r="H27" s="184"/>
      <c r="I27" s="185">
        <f t="shared" ca="1" si="3"/>
        <v>674.690546915288</v>
      </c>
      <c r="J27" s="186">
        <v>10117.388054863901</v>
      </c>
      <c r="K27" s="186">
        <f t="shared" si="4"/>
        <v>10097.961647729637</v>
      </c>
      <c r="L27" s="182">
        <f t="shared" si="5"/>
        <v>19.426407134264082</v>
      </c>
      <c r="M27" s="182"/>
      <c r="N27" s="183">
        <v>0</v>
      </c>
      <c r="O27" s="183">
        <v>0</v>
      </c>
      <c r="P27" s="183">
        <f t="shared" ref="P27:P33" si="13">+N27-O27</f>
        <v>0</v>
      </c>
      <c r="Q27" s="182">
        <f t="shared" ca="1" si="7"/>
        <v>46.654051025810652</v>
      </c>
      <c r="R27" s="187">
        <f t="shared" ca="1" si="8"/>
        <v>740.77100507536272</v>
      </c>
      <c r="S27" s="187"/>
      <c r="T27" s="190">
        <f t="shared" ca="1" si="9"/>
        <v>740.77100507536272</v>
      </c>
      <c r="V27" s="189">
        <f t="shared" ca="1" si="10"/>
        <v>694.11695404955208</v>
      </c>
      <c r="W27" s="159" t="str">
        <f t="shared" si="12"/>
        <v>P.010</v>
      </c>
    </row>
    <row r="28" spans="1:23">
      <c r="A28" s="158" t="s">
        <v>230</v>
      </c>
      <c r="B28" s="156" t="s">
        <v>117</v>
      </c>
      <c r="C28" s="193" t="str">
        <f t="shared" ca="1" si="0"/>
        <v>Bartlesville SE to Coffeyville T Rebuild</v>
      </c>
      <c r="D28" s="181">
        <f t="shared" ca="1" si="0"/>
        <v>2011</v>
      </c>
      <c r="E28" s="182">
        <v>0</v>
      </c>
      <c r="F28" s="183">
        <f t="shared" ca="1" si="1"/>
        <v>0</v>
      </c>
      <c r="G28" s="183">
        <f t="shared" ref="G28:G33" ca="1" si="14">+E28+F28</f>
        <v>0</v>
      </c>
      <c r="H28" s="184"/>
      <c r="I28" s="185">
        <f t="shared" ca="1" si="3"/>
        <v>9590.631973143958</v>
      </c>
      <c r="J28" s="186">
        <v>149539.86171467142</v>
      </c>
      <c r="K28" s="186">
        <f t="shared" si="4"/>
        <v>149252.73007350895</v>
      </c>
      <c r="L28" s="182">
        <f t="shared" ref="L28:L33" si="15">+J28-K28</f>
        <v>287.13164116247208</v>
      </c>
      <c r="M28" s="182"/>
      <c r="N28" s="183">
        <v>0</v>
      </c>
      <c r="O28" s="183">
        <v>0</v>
      </c>
      <c r="P28" s="183">
        <f t="shared" si="13"/>
        <v>0</v>
      </c>
      <c r="Q28" s="182">
        <f t="shared" ca="1" si="7"/>
        <v>663.91936545300041</v>
      </c>
      <c r="R28" s="187">
        <f t="shared" ref="R28:R33" ca="1" si="16">I28+L28+P28+Q28</f>
        <v>10541.682979759431</v>
      </c>
      <c r="S28" s="187"/>
      <c r="T28" s="190">
        <f t="shared" ref="T28:T33" ca="1" si="17">+G28+R28</f>
        <v>10541.682979759431</v>
      </c>
      <c r="V28" s="189">
        <f t="shared" ref="V28:V33" ca="1" si="18">+I28+L28+P28</f>
        <v>9877.7636143064301</v>
      </c>
      <c r="W28" s="159" t="str">
        <f t="shared" si="12"/>
        <v>P.011</v>
      </c>
    </row>
    <row r="29" spans="1:23" ht="25.5">
      <c r="A29" s="158" t="s">
        <v>238</v>
      </c>
      <c r="B29" s="156" t="s">
        <v>117</v>
      </c>
      <c r="C29" s="193" t="str">
        <f t="shared" ca="1" si="0"/>
        <v>Canadian River - McAlester City 138 kV Line Conversion</v>
      </c>
      <c r="D29" s="181">
        <f t="shared" ca="1" si="0"/>
        <v>2012</v>
      </c>
      <c r="E29" s="182">
        <v>0</v>
      </c>
      <c r="F29" s="183">
        <f t="shared" ca="1" si="1"/>
        <v>0</v>
      </c>
      <c r="G29" s="183">
        <f t="shared" ca="1" si="14"/>
        <v>0</v>
      </c>
      <c r="H29" s="184"/>
      <c r="I29" s="185">
        <f t="shared" ca="1" si="3"/>
        <v>22008.252704819373</v>
      </c>
      <c r="J29" s="186">
        <v>362861.97073512845</v>
      </c>
      <c r="K29" s="186">
        <f t="shared" si="4"/>
        <v>362165.23909462831</v>
      </c>
      <c r="L29" s="182">
        <f t="shared" si="15"/>
        <v>696.73164050013293</v>
      </c>
      <c r="M29" s="182"/>
      <c r="N29" s="183">
        <v>0</v>
      </c>
      <c r="O29" s="183">
        <v>0</v>
      </c>
      <c r="P29" s="183">
        <f t="shared" si="13"/>
        <v>0</v>
      </c>
      <c r="Q29" s="182">
        <f t="shared" ca="1" si="7"/>
        <v>1526.0821566262273</v>
      </c>
      <c r="R29" s="187">
        <f t="shared" ca="1" si="16"/>
        <v>24231.066501945734</v>
      </c>
      <c r="S29" s="187"/>
      <c r="T29" s="190">
        <f t="shared" ca="1" si="17"/>
        <v>24231.066501945734</v>
      </c>
      <c r="V29" s="189">
        <f t="shared" ca="1" si="18"/>
        <v>22704.984345319506</v>
      </c>
      <c r="W29" s="159" t="str">
        <f t="shared" si="12"/>
        <v>P.012</v>
      </c>
    </row>
    <row r="30" spans="1:23" ht="15.75" customHeight="1">
      <c r="A30" s="158" t="s">
        <v>240</v>
      </c>
      <c r="B30" s="156" t="s">
        <v>117</v>
      </c>
      <c r="C30" s="193" t="str">
        <f t="shared" ca="1" si="0"/>
        <v>CoffeyvilleT to Dearing 138 kv Rebuild - 1.1 mi*</v>
      </c>
      <c r="D30" s="181">
        <f t="shared" ca="1" si="0"/>
        <v>2010</v>
      </c>
      <c r="E30" s="182">
        <v>0</v>
      </c>
      <c r="F30" s="183">
        <f t="shared" ca="1" si="1"/>
        <v>0</v>
      </c>
      <c r="G30" s="183">
        <f t="shared" ca="1" si="14"/>
        <v>0</v>
      </c>
      <c r="H30" s="184"/>
      <c r="I30" s="185">
        <f t="shared" ca="1" si="3"/>
        <v>152.10730133923198</v>
      </c>
      <c r="J30" s="186">
        <v>2404.5914066676796</v>
      </c>
      <c r="K30" s="186">
        <f t="shared" si="4"/>
        <v>2399.974348252586</v>
      </c>
      <c r="L30" s="182">
        <f t="shared" si="15"/>
        <v>4.617058415093652</v>
      </c>
      <c r="M30" s="182"/>
      <c r="N30" s="183">
        <v>0</v>
      </c>
      <c r="O30" s="183">
        <v>0</v>
      </c>
      <c r="P30" s="183">
        <f t="shared" si="13"/>
        <v>0</v>
      </c>
      <c r="Q30" s="182">
        <f t="shared" ca="1" si="7"/>
        <v>10.533997526364747</v>
      </c>
      <c r="R30" s="187">
        <f t="shared" ca="1" si="16"/>
        <v>167.25835728069038</v>
      </c>
      <c r="S30" s="187"/>
      <c r="T30" s="190">
        <f t="shared" ca="1" si="17"/>
        <v>167.25835728069038</v>
      </c>
      <c r="V30" s="189">
        <f t="shared" ca="1" si="18"/>
        <v>156.72435975432563</v>
      </c>
      <c r="W30" s="159" t="str">
        <f t="shared" si="12"/>
        <v>P.013</v>
      </c>
    </row>
    <row r="31" spans="1:23" ht="15.75" customHeight="1">
      <c r="A31" s="194" t="s">
        <v>243</v>
      </c>
      <c r="B31" s="156" t="s">
        <v>117</v>
      </c>
      <c r="C31" s="193" t="str">
        <f t="shared" ca="1" si="0"/>
        <v>Ashdown West - Craig Junction</v>
      </c>
      <c r="D31" s="181">
        <f t="shared" ca="1" si="0"/>
        <v>2013</v>
      </c>
      <c r="E31" s="182">
        <v>0</v>
      </c>
      <c r="F31" s="183">
        <f t="shared" ca="1" si="1"/>
        <v>0</v>
      </c>
      <c r="G31" s="183">
        <f t="shared" ca="1" si="14"/>
        <v>0</v>
      </c>
      <c r="H31" s="184"/>
      <c r="I31" s="185">
        <f t="shared" ca="1" si="3"/>
        <v>15478.771753945693</v>
      </c>
      <c r="J31" s="186">
        <v>116025.11350433659</v>
      </c>
      <c r="K31" s="186">
        <f t="shared" si="4"/>
        <v>115802.33356543224</v>
      </c>
      <c r="L31" s="182">
        <f t="shared" si="15"/>
        <v>222.77993890435027</v>
      </c>
      <c r="M31" s="182"/>
      <c r="N31" s="183">
        <v>0</v>
      </c>
      <c r="O31" s="183">
        <v>0</v>
      </c>
      <c r="P31" s="183">
        <f t="shared" si="13"/>
        <v>0</v>
      </c>
      <c r="Q31" s="182">
        <f t="shared" ca="1" si="7"/>
        <v>1055.3567227956437</v>
      </c>
      <c r="R31" s="187">
        <f t="shared" ca="1" si="16"/>
        <v>16756.908415645688</v>
      </c>
      <c r="S31" s="187"/>
      <c r="T31" s="190">
        <f t="shared" ca="1" si="17"/>
        <v>16756.908415645688</v>
      </c>
      <c r="V31" s="189">
        <f t="shared" ca="1" si="18"/>
        <v>15701.551692850044</v>
      </c>
      <c r="W31" s="159" t="str">
        <f t="shared" si="12"/>
        <v>P.014</v>
      </c>
    </row>
    <row r="32" spans="1:23" ht="25.5" customHeight="1">
      <c r="A32" s="194" t="s">
        <v>256</v>
      </c>
      <c r="B32" s="156" t="s">
        <v>117</v>
      </c>
      <c r="C32" s="193" t="str">
        <f t="shared" ca="1" si="0"/>
        <v>Locust Grove to Lone Star 115 kV Rebuild 2.1 miles</v>
      </c>
      <c r="D32" s="181">
        <f t="shared" ca="1" si="0"/>
        <v>2014</v>
      </c>
      <c r="E32" s="182">
        <v>0</v>
      </c>
      <c r="F32" s="183">
        <f t="shared" ca="1" si="1"/>
        <v>0</v>
      </c>
      <c r="G32" s="183">
        <f t="shared" ca="1" si="14"/>
        <v>0</v>
      </c>
      <c r="H32" s="184"/>
      <c r="I32" s="185">
        <f t="shared" ca="1" si="3"/>
        <v>15979.711180726415</v>
      </c>
      <c r="J32" s="186">
        <v>252141.77551747943</v>
      </c>
      <c r="K32" s="186">
        <f t="shared" si="4"/>
        <v>251657.63783686495</v>
      </c>
      <c r="L32" s="182">
        <f t="shared" si="15"/>
        <v>484.13768061448354</v>
      </c>
      <c r="M32" s="182"/>
      <c r="N32" s="183">
        <v>0</v>
      </c>
      <c r="O32" s="183">
        <v>0</v>
      </c>
      <c r="P32" s="183">
        <f t="shared" si="13"/>
        <v>0</v>
      </c>
      <c r="Q32" s="182">
        <f t="shared" ca="1" si="7"/>
        <v>1106.5934067407882</v>
      </c>
      <c r="R32" s="187">
        <f t="shared" ca="1" si="16"/>
        <v>17570.442268081686</v>
      </c>
      <c r="S32" s="187"/>
      <c r="T32" s="190">
        <f t="shared" ca="1" si="17"/>
        <v>17570.442268081686</v>
      </c>
      <c r="V32" s="189">
        <f t="shared" ca="1" si="18"/>
        <v>16463.848861340899</v>
      </c>
      <c r="W32" s="159" t="str">
        <f t="shared" ref="W32:W39" si="19">A32</f>
        <v>P.015</v>
      </c>
    </row>
    <row r="33" spans="1:23" ht="15.75" customHeight="1">
      <c r="A33" s="194" t="s">
        <v>257</v>
      </c>
      <c r="B33" s="156" t="s">
        <v>117</v>
      </c>
      <c r="C33" s="193" t="str">
        <f t="shared" ca="1" si="0"/>
        <v>Cornville Station Conversion</v>
      </c>
      <c r="D33" s="181">
        <f t="shared" ca="1" si="0"/>
        <v>2014</v>
      </c>
      <c r="E33" s="182">
        <v>0</v>
      </c>
      <c r="F33" s="183">
        <f t="shared" ca="1" si="1"/>
        <v>0</v>
      </c>
      <c r="G33" s="183">
        <f t="shared" ca="1" si="14"/>
        <v>0</v>
      </c>
      <c r="H33" s="184"/>
      <c r="I33" s="185">
        <f t="shared" ca="1" si="3"/>
        <v>36778.41859738261</v>
      </c>
      <c r="J33" s="186">
        <v>576467.41486652626</v>
      </c>
      <c r="K33" s="186">
        <f t="shared" si="4"/>
        <v>575360.53919465269</v>
      </c>
      <c r="L33" s="182">
        <f t="shared" si="15"/>
        <v>1106.8756718735676</v>
      </c>
      <c r="M33" s="182"/>
      <c r="N33" s="183">
        <v>0</v>
      </c>
      <c r="O33" s="183">
        <v>0</v>
      </c>
      <c r="P33" s="183">
        <f t="shared" si="13"/>
        <v>0</v>
      </c>
      <c r="Q33" s="182">
        <f t="shared" ca="1" si="7"/>
        <v>2546.4043799159963</v>
      </c>
      <c r="R33" s="187">
        <f t="shared" ca="1" si="16"/>
        <v>40431.698649172176</v>
      </c>
      <c r="S33" s="187"/>
      <c r="T33" s="190">
        <f t="shared" ca="1" si="17"/>
        <v>40431.698649172176</v>
      </c>
      <c r="V33" s="189">
        <f t="shared" ca="1" si="18"/>
        <v>37885.294269256177</v>
      </c>
      <c r="W33" s="159" t="str">
        <f t="shared" si="19"/>
        <v>P.016</v>
      </c>
    </row>
    <row r="34" spans="1:23">
      <c r="A34" s="194" t="s">
        <v>267</v>
      </c>
      <c r="B34" s="156" t="s">
        <v>117</v>
      </c>
      <c r="C34" s="193" t="str">
        <f t="shared" ca="1" si="0"/>
        <v>Grady Customer Connection</v>
      </c>
      <c r="D34" s="181">
        <f t="shared" ca="1" si="0"/>
        <v>2015</v>
      </c>
      <c r="E34" s="182">
        <v>0</v>
      </c>
      <c r="F34" s="183">
        <f t="shared" ca="1" si="1"/>
        <v>0</v>
      </c>
      <c r="G34" s="183">
        <f t="shared" ref="G34:G39" ca="1" si="20">+E34+F34</f>
        <v>0</v>
      </c>
      <c r="H34" s="184"/>
      <c r="I34" s="185">
        <f t="shared" ca="1" si="3"/>
        <v>12505.932948887203</v>
      </c>
      <c r="J34" s="186">
        <v>196256.22111283179</v>
      </c>
      <c r="K34" s="186">
        <f t="shared" si="4"/>
        <v>195879.38934229029</v>
      </c>
      <c r="L34" s="182">
        <f t="shared" ref="L34:L39" si="21">+J34-K34</f>
        <v>376.83177054149564</v>
      </c>
      <c r="M34" s="182"/>
      <c r="N34" s="183">
        <v>0</v>
      </c>
      <c r="O34" s="183">
        <v>0</v>
      </c>
      <c r="P34" s="183">
        <f t="shared" ref="P34:P39" si="22">+N34-O34</f>
        <v>0</v>
      </c>
      <c r="Q34" s="182">
        <f t="shared" ca="1" si="7"/>
        <v>865.89609872982987</v>
      </c>
      <c r="R34" s="187">
        <f t="shared" ref="R34:R39" ca="1" si="23">I34+L34+P34+Q34</f>
        <v>13748.660818158529</v>
      </c>
      <c r="S34" s="187"/>
      <c r="T34" s="190">
        <f t="shared" ref="T34:T39" ca="1" si="24">+G34+R34</f>
        <v>13748.660818158529</v>
      </c>
      <c r="U34" s="195"/>
      <c r="V34" s="189">
        <f t="shared" ref="V34:V39" ca="1" si="25">+I34+L34+P34</f>
        <v>12882.764719428698</v>
      </c>
      <c r="W34" s="159" t="str">
        <f t="shared" si="19"/>
        <v>P.017</v>
      </c>
    </row>
    <row r="35" spans="1:23">
      <c r="A35" s="194" t="s">
        <v>268</v>
      </c>
      <c r="B35" s="156" t="s">
        <v>117</v>
      </c>
      <c r="C35" s="193" t="str">
        <f t="shared" ca="1" si="0"/>
        <v>Darlington-Red Rock 138 kV line</v>
      </c>
      <c r="D35" s="181">
        <f t="shared" ca="1" si="0"/>
        <v>2014</v>
      </c>
      <c r="E35" s="182">
        <v>0</v>
      </c>
      <c r="F35" s="196">
        <f t="shared" ca="1" si="1"/>
        <v>0</v>
      </c>
      <c r="G35" s="196">
        <f t="shared" ca="1" si="20"/>
        <v>0</v>
      </c>
      <c r="H35" s="197"/>
      <c r="I35" s="185">
        <f t="shared" ca="1" si="3"/>
        <v>14808.997794924479</v>
      </c>
      <c r="J35" s="186">
        <v>197147.96300340607</v>
      </c>
      <c r="K35" s="198">
        <f t="shared" si="4"/>
        <v>196769.41899834998</v>
      </c>
      <c r="L35" s="199">
        <f t="shared" si="21"/>
        <v>378.54400505608646</v>
      </c>
      <c r="M35" s="199"/>
      <c r="N35" s="196">
        <v>0</v>
      </c>
      <c r="O35" s="196">
        <v>0</v>
      </c>
      <c r="P35" s="196">
        <f t="shared" si="22"/>
        <v>0</v>
      </c>
      <c r="Q35" s="199">
        <f t="shared" ca="1" si="7"/>
        <v>1020.8083032104447</v>
      </c>
      <c r="R35" s="200">
        <f t="shared" ca="1" si="23"/>
        <v>16208.350103191009</v>
      </c>
      <c r="S35" s="200"/>
      <c r="T35" s="201">
        <f t="shared" ca="1" si="24"/>
        <v>16208.350103191009</v>
      </c>
      <c r="U35" s="195"/>
      <c r="V35" s="189">
        <f t="shared" ca="1" si="25"/>
        <v>15187.541799980565</v>
      </c>
      <c r="W35" s="159" t="str">
        <f t="shared" si="19"/>
        <v>P.018</v>
      </c>
    </row>
    <row r="36" spans="1:23">
      <c r="A36" s="194" t="s">
        <v>275</v>
      </c>
      <c r="B36" s="156" t="s">
        <v>117</v>
      </c>
      <c r="C36" s="193" t="str">
        <f t="shared" ca="1" si="0"/>
        <v>Valliant-NW Texarkana 345 kV</v>
      </c>
      <c r="D36" s="181">
        <f t="shared" ca="1" si="0"/>
        <v>2017</v>
      </c>
      <c r="E36" s="182">
        <v>0</v>
      </c>
      <c r="F36" s="196">
        <f t="shared" ca="1" si="1"/>
        <v>0</v>
      </c>
      <c r="G36" s="196">
        <f t="shared" ca="1" si="20"/>
        <v>0</v>
      </c>
      <c r="H36" s="197"/>
      <c r="I36" s="185">
        <f t="shared" ca="1" si="3"/>
        <v>8656.3517078839359</v>
      </c>
      <c r="J36" s="186">
        <v>160652.559032005</v>
      </c>
      <c r="K36" s="198">
        <f t="shared" si="4"/>
        <v>160344.08988937715</v>
      </c>
      <c r="L36" s="199">
        <f t="shared" si="21"/>
        <v>308.46914262784412</v>
      </c>
      <c r="M36" s="199"/>
      <c r="N36" s="196">
        <v>0</v>
      </c>
      <c r="O36" s="196">
        <v>0</v>
      </c>
      <c r="P36" s="196">
        <f t="shared" si="22"/>
        <v>0</v>
      </c>
      <c r="Q36" s="199">
        <f t="shared" ca="1" si="7"/>
        <v>602.55725920097586</v>
      </c>
      <c r="R36" s="200">
        <f t="shared" ca="1" si="23"/>
        <v>9567.3781097127558</v>
      </c>
      <c r="S36" s="200"/>
      <c r="T36" s="201">
        <f t="shared" ca="1" si="24"/>
        <v>9567.3781097127558</v>
      </c>
      <c r="U36" s="195"/>
      <c r="V36" s="189">
        <f t="shared" ca="1" si="25"/>
        <v>8964.82085051178</v>
      </c>
      <c r="W36" s="159" t="str">
        <f t="shared" si="19"/>
        <v>P.019</v>
      </c>
    </row>
    <row r="37" spans="1:23">
      <c r="A37" s="194" t="s">
        <v>276</v>
      </c>
      <c r="B37" s="156" t="s">
        <v>117</v>
      </c>
      <c r="C37" s="193" t="str">
        <f t="shared" ca="1" si="0"/>
        <v>Sayre 138 kV Capacitor Bank Addition</v>
      </c>
      <c r="D37" s="181">
        <f t="shared" ca="1" si="0"/>
        <v>2018</v>
      </c>
      <c r="E37" s="182">
        <v>0</v>
      </c>
      <c r="F37" s="183">
        <f t="shared" ca="1" si="1"/>
        <v>0</v>
      </c>
      <c r="G37" s="183">
        <f t="shared" ca="1" si="20"/>
        <v>0</v>
      </c>
      <c r="H37" s="184"/>
      <c r="I37" s="185">
        <f t="shared" ca="1" si="3"/>
        <v>12179.120113032724</v>
      </c>
      <c r="J37" s="186">
        <v>365467.32420262514</v>
      </c>
      <c r="K37" s="198">
        <f t="shared" si="4"/>
        <v>364765.59002027195</v>
      </c>
      <c r="L37" s="199">
        <f t="shared" si="21"/>
        <v>701.73418235318968</v>
      </c>
      <c r="M37" s="199"/>
      <c r="N37" s="196">
        <v>0</v>
      </c>
      <c r="O37" s="196">
        <v>0</v>
      </c>
      <c r="P37" s="196">
        <f t="shared" si="22"/>
        <v>0</v>
      </c>
      <c r="Q37" s="199">
        <f t="shared" ca="1" si="7"/>
        <v>865.76769238526072</v>
      </c>
      <c r="R37" s="200">
        <f t="shared" ca="1" si="23"/>
        <v>13746.621987771176</v>
      </c>
      <c r="S37" s="200"/>
      <c r="T37" s="201">
        <f t="shared" ca="1" si="24"/>
        <v>13746.621987771176</v>
      </c>
      <c r="U37" s="195"/>
      <c r="V37" s="189">
        <f t="shared" ca="1" si="25"/>
        <v>12880.854295385914</v>
      </c>
      <c r="W37" s="159" t="str">
        <f t="shared" si="19"/>
        <v>P.020</v>
      </c>
    </row>
    <row r="38" spans="1:23">
      <c r="A38" s="194" t="s">
        <v>277</v>
      </c>
      <c r="B38" s="156" t="s">
        <v>117</v>
      </c>
      <c r="C38" s="193" t="str">
        <f t="shared" ca="1" si="0"/>
        <v>Darlington-Roman Nose 138 kV</v>
      </c>
      <c r="D38" s="181">
        <f t="shared" ca="1" si="0"/>
        <v>2017</v>
      </c>
      <c r="E38" s="182">
        <v>0</v>
      </c>
      <c r="F38" s="183">
        <f t="shared" ca="1" si="1"/>
        <v>0</v>
      </c>
      <c r="G38" s="183">
        <f t="shared" ca="1" si="20"/>
        <v>0</v>
      </c>
      <c r="H38" s="184"/>
      <c r="I38" s="185">
        <f t="shared" ca="1" si="3"/>
        <v>1718.4547619221703</v>
      </c>
      <c r="J38" s="186">
        <v>50266.302044528493</v>
      </c>
      <c r="K38" s="198">
        <f t="shared" si="4"/>
        <v>50169.785666649579</v>
      </c>
      <c r="L38" s="199">
        <f t="shared" si="21"/>
        <v>96.516377878913772</v>
      </c>
      <c r="M38" s="199"/>
      <c r="N38" s="196">
        <v>0</v>
      </c>
      <c r="O38" s="196">
        <v>0</v>
      </c>
      <c r="P38" s="196">
        <f t="shared" si="22"/>
        <v>0</v>
      </c>
      <c r="Q38" s="199">
        <f t="shared" ca="1" si="7"/>
        <v>121.99061796811925</v>
      </c>
      <c r="R38" s="200">
        <f t="shared" ca="1" si="23"/>
        <v>1936.9617577692034</v>
      </c>
      <c r="S38" s="200"/>
      <c r="T38" s="201">
        <f t="shared" ca="1" si="24"/>
        <v>1936.9617577692034</v>
      </c>
      <c r="U38" s="195"/>
      <c r="V38" s="189">
        <f t="shared" ca="1" si="25"/>
        <v>1814.9711398010841</v>
      </c>
      <c r="W38" s="159" t="str">
        <f t="shared" si="19"/>
        <v>P.021</v>
      </c>
    </row>
    <row r="39" spans="1:23">
      <c r="A39" s="194" t="s">
        <v>278</v>
      </c>
      <c r="B39" s="156" t="s">
        <v>117</v>
      </c>
      <c r="C39" s="193" t="str">
        <f t="shared" ca="1" si="0"/>
        <v>Northeastern Station 138 kV Terminal Upgrades</v>
      </c>
      <c r="D39" s="181">
        <f t="shared" ca="1" si="0"/>
        <v>2018</v>
      </c>
      <c r="E39" s="182">
        <v>0</v>
      </c>
      <c r="F39" s="183">
        <f t="shared" ca="1" si="1"/>
        <v>0</v>
      </c>
      <c r="G39" s="183">
        <f t="shared" ca="1" si="20"/>
        <v>0</v>
      </c>
      <c r="H39" s="184"/>
      <c r="I39" s="185">
        <f t="shared" ca="1" si="3"/>
        <v>1631.6116060770219</v>
      </c>
      <c r="J39" s="186">
        <v>29990.099033273476</v>
      </c>
      <c r="K39" s="198">
        <f t="shared" si="4"/>
        <v>29932.515013499011</v>
      </c>
      <c r="L39" s="199">
        <f t="shared" si="21"/>
        <v>57.58401977446556</v>
      </c>
      <c r="M39" s="199"/>
      <c r="N39" s="196">
        <v>0</v>
      </c>
      <c r="O39" s="196">
        <v>0</v>
      </c>
      <c r="P39" s="196">
        <f t="shared" si="22"/>
        <v>0</v>
      </c>
      <c r="Q39" s="199">
        <f t="shared" ca="1" si="7"/>
        <v>113.53680163159575</v>
      </c>
      <c r="R39" s="200">
        <f t="shared" ca="1" si="23"/>
        <v>1802.7324274830833</v>
      </c>
      <c r="S39" s="200"/>
      <c r="T39" s="201">
        <f t="shared" ca="1" si="24"/>
        <v>1802.7324274830833</v>
      </c>
      <c r="U39" s="195"/>
      <c r="V39" s="189">
        <f t="shared" ca="1" si="25"/>
        <v>1689.1956258514874</v>
      </c>
      <c r="W39" s="159" t="str">
        <f t="shared" si="19"/>
        <v>P.022</v>
      </c>
    </row>
    <row r="40" spans="1:23">
      <c r="A40" s="194" t="s">
        <v>310</v>
      </c>
      <c r="B40" s="156" t="s">
        <v>117</v>
      </c>
      <c r="C40" s="193" t="str">
        <f t="shared" ca="1" si="0"/>
        <v>Elk City 138KV Move Load</v>
      </c>
      <c r="D40" s="181">
        <f t="shared" ca="1" si="0"/>
        <v>2018</v>
      </c>
      <c r="E40" s="182">
        <v>0</v>
      </c>
      <c r="F40" s="183">
        <f t="shared" ca="1" si="1"/>
        <v>0</v>
      </c>
      <c r="G40" s="183">
        <f t="shared" ref="G40:G45" ca="1" si="26">+E40+F40</f>
        <v>0</v>
      </c>
      <c r="H40" s="184"/>
      <c r="I40" s="185">
        <f t="shared" ca="1" si="3"/>
        <v>8752.2860976976517</v>
      </c>
      <c r="J40" s="186">
        <v>21232.901333082526</v>
      </c>
      <c r="K40" s="198">
        <f t="shared" si="4"/>
        <v>21192.132017553526</v>
      </c>
      <c r="L40" s="199">
        <f t="shared" ref="L40:L45" si="27">+J40-K40</f>
        <v>40.769315528999869</v>
      </c>
      <c r="M40" s="199"/>
      <c r="N40" s="196">
        <v>0</v>
      </c>
      <c r="O40" s="196">
        <v>0</v>
      </c>
      <c r="P40" s="196">
        <f t="shared" ref="P40:P45" si="28">+N40-O40</f>
        <v>0</v>
      </c>
      <c r="Q40" s="199">
        <f t="shared" ca="1" si="7"/>
        <v>591.01229775201671</v>
      </c>
      <c r="R40" s="200">
        <f t="shared" ref="R40:R45" ca="1" si="29">I40+L40+P40+Q40</f>
        <v>9384.0677109786684</v>
      </c>
      <c r="S40" s="200"/>
      <c r="T40" s="201">
        <f t="shared" ref="T40:T45" ca="1" si="30">+G40+R40</f>
        <v>9384.0677109786684</v>
      </c>
      <c r="U40" s="195"/>
      <c r="V40" s="189">
        <f t="shared" ref="V40:V46" ca="1" si="31">+I40+L40+P40</f>
        <v>8793.0554132266516</v>
      </c>
      <c r="W40" s="159" t="str">
        <f t="shared" ref="W40:W46" si="32">A40</f>
        <v>P.023</v>
      </c>
    </row>
    <row r="41" spans="1:23">
      <c r="A41" s="194" t="s">
        <v>311</v>
      </c>
      <c r="B41" s="156" t="s">
        <v>117</v>
      </c>
      <c r="C41" s="193" t="str">
        <f t="shared" ca="1" si="0"/>
        <v>Duncan-Comanche Tap 69 KV Rebuild</v>
      </c>
      <c r="D41" s="181">
        <f t="shared" ca="1" si="0"/>
        <v>2018</v>
      </c>
      <c r="E41" s="182">
        <v>0</v>
      </c>
      <c r="F41" s="183">
        <f t="shared" ca="1" si="1"/>
        <v>0</v>
      </c>
      <c r="G41" s="183">
        <f t="shared" ca="1" si="26"/>
        <v>0</v>
      </c>
      <c r="H41" s="184"/>
      <c r="I41" s="185">
        <f t="shared" ca="1" si="3"/>
        <v>8532.2918975272623</v>
      </c>
      <c r="J41" s="186">
        <v>177498.85602714799</v>
      </c>
      <c r="K41" s="198">
        <f t="shared" si="4"/>
        <v>177158.04029245931</v>
      </c>
      <c r="L41" s="199">
        <f t="shared" si="27"/>
        <v>340.81573468868737</v>
      </c>
      <c r="M41" s="199"/>
      <c r="N41" s="196">
        <v>0</v>
      </c>
      <c r="O41" s="196">
        <v>0</v>
      </c>
      <c r="P41" s="196">
        <f t="shared" si="28"/>
        <v>0</v>
      </c>
      <c r="Q41" s="199">
        <f t="shared" ca="1" si="7"/>
        <v>596.39289001052168</v>
      </c>
      <c r="R41" s="200">
        <f t="shared" ca="1" si="29"/>
        <v>9469.5005222264717</v>
      </c>
      <c r="S41" s="200"/>
      <c r="T41" s="201">
        <f t="shared" ca="1" si="30"/>
        <v>9469.5005222264717</v>
      </c>
      <c r="U41" s="195"/>
      <c r="V41" s="189">
        <f t="shared" ca="1" si="31"/>
        <v>8873.1076322159497</v>
      </c>
      <c r="W41" s="159" t="str">
        <f t="shared" si="32"/>
        <v>P.024</v>
      </c>
    </row>
    <row r="42" spans="1:23">
      <c r="A42" s="194" t="s">
        <v>325</v>
      </c>
      <c r="B42" s="156" t="s">
        <v>117</v>
      </c>
      <c r="C42" s="193" t="str">
        <f t="shared" ca="1" si="0"/>
        <v>Fort Towson-Valliant Line Rebuild</v>
      </c>
      <c r="D42" s="181">
        <f t="shared" ca="1" si="0"/>
        <v>2018</v>
      </c>
      <c r="E42" s="182">
        <v>0</v>
      </c>
      <c r="F42" s="183">
        <f t="shared" ca="1" si="1"/>
        <v>0</v>
      </c>
      <c r="G42" s="183">
        <f t="shared" ca="1" si="26"/>
        <v>0</v>
      </c>
      <c r="H42" s="197"/>
      <c r="I42" s="185">
        <f t="shared" ca="1" si="3"/>
        <v>3324.5989954473043</v>
      </c>
      <c r="J42" s="186">
        <v>4555.4662694117615</v>
      </c>
      <c r="K42" s="198">
        <f t="shared" si="4"/>
        <v>4546.7193139766132</v>
      </c>
      <c r="L42" s="199">
        <f t="shared" si="27"/>
        <v>8.7469554351482657</v>
      </c>
      <c r="M42" s="199"/>
      <c r="N42" s="196">
        <v>0</v>
      </c>
      <c r="O42" s="196">
        <v>0</v>
      </c>
      <c r="P42" s="196">
        <f t="shared" si="28"/>
        <v>0</v>
      </c>
      <c r="Q42" s="199">
        <f t="shared" ca="1" si="7"/>
        <v>224.04594956493071</v>
      </c>
      <c r="R42" s="200">
        <f t="shared" ca="1" si="29"/>
        <v>3557.3919004473833</v>
      </c>
      <c r="S42" s="200"/>
      <c r="T42" s="201">
        <f t="shared" ca="1" si="30"/>
        <v>3557.3919004473833</v>
      </c>
      <c r="U42" s="195"/>
      <c r="V42" s="189">
        <f t="shared" ca="1" si="31"/>
        <v>3333.3459508824526</v>
      </c>
      <c r="W42" s="159" t="str">
        <f t="shared" si="32"/>
        <v>P.025</v>
      </c>
    </row>
    <row r="43" spans="1:23">
      <c r="A43" s="194" t="s">
        <v>340</v>
      </c>
      <c r="B43" s="156" t="s">
        <v>117</v>
      </c>
      <c r="C43" s="615" t="str">
        <f t="shared" ca="1" si="0"/>
        <v>Tulsa Southeast - E. 61st St 138 kV Rebuild</v>
      </c>
      <c r="D43" s="181">
        <f t="shared" ca="1" si="0"/>
        <v>2019</v>
      </c>
      <c r="E43" s="182">
        <v>0</v>
      </c>
      <c r="F43" s="183">
        <f t="shared" ca="1" si="1"/>
        <v>0</v>
      </c>
      <c r="G43" s="183">
        <f t="shared" ca="1" si="26"/>
        <v>0</v>
      </c>
      <c r="H43" s="197"/>
      <c r="I43" s="185">
        <f t="shared" ca="1" si="3"/>
        <v>-110210.93465632759</v>
      </c>
      <c r="J43" s="186">
        <v>1276927.87639783</v>
      </c>
      <c r="K43" s="198">
        <f t="shared" si="4"/>
        <v>1274476.0458785817</v>
      </c>
      <c r="L43" s="199">
        <f t="shared" si="27"/>
        <v>2451.8305192482658</v>
      </c>
      <c r="M43" s="199"/>
      <c r="N43" s="196">
        <v>0</v>
      </c>
      <c r="O43" s="196">
        <v>0</v>
      </c>
      <c r="P43" s="196">
        <f t="shared" si="28"/>
        <v>0</v>
      </c>
      <c r="Q43" s="199">
        <f t="shared" ca="1" si="7"/>
        <v>-7242.8698270177156</v>
      </c>
      <c r="R43" s="200">
        <f t="shared" ca="1" si="29"/>
        <v>-115001.97396409704</v>
      </c>
      <c r="S43" s="200"/>
      <c r="T43" s="201">
        <f t="shared" ca="1" si="30"/>
        <v>-115001.97396409704</v>
      </c>
      <c r="U43" s="195"/>
      <c r="V43" s="189">
        <f t="shared" ca="1" si="31"/>
        <v>-107759.10413707932</v>
      </c>
      <c r="W43" s="159" t="str">
        <f t="shared" si="32"/>
        <v>P.026</v>
      </c>
    </row>
    <row r="44" spans="1:23">
      <c r="A44" s="194" t="s">
        <v>341</v>
      </c>
      <c r="B44" s="156" t="s">
        <v>117</v>
      </c>
      <c r="C44" s="616" t="str">
        <f t="shared" ca="1" si="0"/>
        <v>Broken Arrow North-Lynn Lane East 138 kV</v>
      </c>
      <c r="D44" s="181">
        <f t="shared" ca="1" si="0"/>
        <v>2019</v>
      </c>
      <c r="E44" s="182">
        <v>0</v>
      </c>
      <c r="F44" s="183">
        <f t="shared" ca="1" si="1"/>
        <v>0</v>
      </c>
      <c r="G44" s="183">
        <f t="shared" ca="1" si="26"/>
        <v>0</v>
      </c>
      <c r="H44" s="197"/>
      <c r="I44" s="185">
        <f t="shared" ca="1" si="3"/>
        <v>22232.962295390666</v>
      </c>
      <c r="J44" s="186">
        <v>696004.25348032231</v>
      </c>
      <c r="K44" s="198">
        <f t="shared" si="4"/>
        <v>694667.85500257614</v>
      </c>
      <c r="L44" s="199">
        <f t="shared" si="27"/>
        <v>1336.3984777461737</v>
      </c>
      <c r="M44" s="199"/>
      <c r="N44" s="196">
        <v>0</v>
      </c>
      <c r="O44" s="196">
        <v>0</v>
      </c>
      <c r="P44" s="196">
        <f t="shared" si="28"/>
        <v>0</v>
      </c>
      <c r="Q44" s="199">
        <f ca="1">+V44/$V$48 * $Q$48</f>
        <v>1584.1799479762697</v>
      </c>
      <c r="R44" s="200">
        <f t="shared" ca="1" si="29"/>
        <v>25153.54072111311</v>
      </c>
      <c r="S44" s="200"/>
      <c r="T44" s="201">
        <f t="shared" ca="1" si="30"/>
        <v>25153.54072111311</v>
      </c>
      <c r="U44" s="195"/>
      <c r="V44" s="189">
        <f t="shared" ca="1" si="31"/>
        <v>23569.360773136839</v>
      </c>
      <c r="W44" s="159" t="str">
        <f t="shared" si="32"/>
        <v>P.027</v>
      </c>
    </row>
    <row r="45" spans="1:23">
      <c r="A45" s="194" t="s">
        <v>347</v>
      </c>
      <c r="B45" s="156" t="s">
        <v>117</v>
      </c>
      <c r="C45" s="618" t="str">
        <f t="shared" ca="1" si="0"/>
        <v>Keystone Dam - Wekiwa 138 kV</v>
      </c>
      <c r="D45" s="181">
        <f t="shared" ca="1" si="0"/>
        <v>2020</v>
      </c>
      <c r="E45" s="182">
        <v>0</v>
      </c>
      <c r="F45" s="183">
        <f t="shared" ca="1" si="1"/>
        <v>0</v>
      </c>
      <c r="G45" s="183">
        <f t="shared" ca="1" si="26"/>
        <v>0</v>
      </c>
      <c r="H45" s="197"/>
      <c r="I45" s="185">
        <f t="shared" ca="1" si="3"/>
        <v>44654.30739045731</v>
      </c>
      <c r="J45" s="186">
        <v>302407.38707255269</v>
      </c>
      <c r="K45" s="198">
        <f t="shared" si="4"/>
        <v>301826.73433986882</v>
      </c>
      <c r="L45" s="199">
        <f t="shared" si="27"/>
        <v>580.65273268386954</v>
      </c>
      <c r="M45" s="199"/>
      <c r="N45" s="196">
        <v>0</v>
      </c>
      <c r="O45" s="196">
        <v>0</v>
      </c>
      <c r="P45" s="196">
        <f t="shared" si="28"/>
        <v>0</v>
      </c>
      <c r="Q45" s="199">
        <f ca="1">+V45/$V$48 * $Q$48</f>
        <v>3040.4013695721951</v>
      </c>
      <c r="R45" s="200">
        <f t="shared" ca="1" si="29"/>
        <v>48275.361492713375</v>
      </c>
      <c r="S45" s="200"/>
      <c r="T45" s="201">
        <f t="shared" ca="1" si="30"/>
        <v>48275.361492713375</v>
      </c>
      <c r="U45" s="195"/>
      <c r="V45" s="189">
        <f t="shared" ca="1" si="31"/>
        <v>45234.96012314118</v>
      </c>
      <c r="W45" s="159" t="str">
        <f t="shared" si="32"/>
        <v>P.028</v>
      </c>
    </row>
    <row r="46" spans="1:23">
      <c r="A46" s="194" t="s">
        <v>355</v>
      </c>
      <c r="B46" s="156" t="s">
        <v>117</v>
      </c>
      <c r="C46" s="628" t="str">
        <f t="shared" ca="1" si="0"/>
        <v>Tulsa SE - E 21st St Tap 138 kV</v>
      </c>
      <c r="D46" s="181">
        <f t="shared" ca="1" si="0"/>
        <v>2021</v>
      </c>
      <c r="E46" s="182"/>
      <c r="F46" s="183"/>
      <c r="G46" s="183"/>
      <c r="H46" s="197"/>
      <c r="I46" s="185">
        <f t="shared" ca="1" si="3"/>
        <v>68486.42007157256</v>
      </c>
      <c r="J46" s="186">
        <v>0</v>
      </c>
      <c r="K46" s="198">
        <f t="shared" ref="K46" si="33">J46/J$48*K$48</f>
        <v>0</v>
      </c>
      <c r="L46" s="199">
        <f t="shared" ref="L46" si="34">+J46-K46</f>
        <v>0</v>
      </c>
      <c r="M46" s="199"/>
      <c r="N46" s="196"/>
      <c r="O46" s="196"/>
      <c r="P46" s="196"/>
      <c r="Q46" s="199">
        <f ca="1">+V46/$V$48 * $Q$48</f>
        <v>4603.2140807875303</v>
      </c>
      <c r="R46" s="200">
        <f t="shared" ref="R46" ca="1" si="35">I46+L46+P46+Q46</f>
        <v>73089.634152360086</v>
      </c>
      <c r="S46" s="200"/>
      <c r="T46" s="201">
        <f t="shared" ref="T46" ca="1" si="36">+G46+R46</f>
        <v>73089.634152360086</v>
      </c>
      <c r="U46" s="195"/>
      <c r="V46" s="189">
        <f t="shared" ca="1" si="31"/>
        <v>68486.42007157256</v>
      </c>
      <c r="W46" s="159" t="str">
        <f t="shared" si="32"/>
        <v>P.029</v>
      </c>
    </row>
    <row r="47" spans="1:23">
      <c r="A47" s="159"/>
      <c r="B47" s="159"/>
      <c r="C47" s="159"/>
      <c r="D47" s="156"/>
      <c r="E47" s="200"/>
      <c r="F47" s="200"/>
      <c r="G47" s="200"/>
      <c r="H47" s="187"/>
      <c r="I47" s="200"/>
      <c r="J47" s="200"/>
      <c r="K47" s="202"/>
      <c r="L47" s="200"/>
      <c r="M47" s="200"/>
      <c r="N47" s="200"/>
      <c r="O47" s="200"/>
      <c r="P47" s="200"/>
      <c r="Q47" s="200"/>
      <c r="R47" s="200"/>
      <c r="S47" s="187"/>
      <c r="T47" s="201"/>
      <c r="V47" s="179"/>
    </row>
    <row r="48" spans="1:23">
      <c r="A48" s="159"/>
      <c r="B48" s="159"/>
      <c r="C48" s="203" t="s">
        <v>177</v>
      </c>
      <c r="D48" s="156"/>
      <c r="E48" s="187">
        <f>SUM(E18:E47)</f>
        <v>0</v>
      </c>
      <c r="F48" s="187">
        <f ca="1">SUM(F18:F47)</f>
        <v>0</v>
      </c>
      <c r="G48" s="187">
        <f ca="1">SUM(G18:G47)</f>
        <v>0</v>
      </c>
      <c r="H48" s="187"/>
      <c r="I48" s="187">
        <f ca="1">SUM(I18:I47)</f>
        <v>408313.90494272055</v>
      </c>
      <c r="J48" s="187">
        <f>SUM(J18:J47)</f>
        <v>8366787.0164489942</v>
      </c>
      <c r="K48" s="187">
        <v>8350721.9401560016</v>
      </c>
      <c r="L48" s="187">
        <f>SUM(L18:L47)</f>
        <v>16065.076292992593</v>
      </c>
      <c r="M48" s="187">
        <f>SUM(M18:M42)</f>
        <v>0</v>
      </c>
      <c r="N48" s="187">
        <f>SUM(N18:N47)</f>
        <v>0</v>
      </c>
      <c r="O48" s="187">
        <f>SUM(O18:O47)</f>
        <v>0</v>
      </c>
      <c r="P48" s="187">
        <f>SUM(P18:P47)</f>
        <v>0</v>
      </c>
      <c r="Q48" s="187">
        <v>28524.009576978395</v>
      </c>
      <c r="R48" s="187">
        <f ca="1">SUM(R18:R47)</f>
        <v>452902.99081269134</v>
      </c>
      <c r="S48" s="187">
        <f>SUM(S18:S42)</f>
        <v>0</v>
      </c>
      <c r="T48" s="190">
        <f ca="1">SUM(T18:T47)</f>
        <v>452902.99081269134</v>
      </c>
      <c r="V48" s="190">
        <f ca="1">SUM(V18:V47)</f>
        <v>424378.981235713</v>
      </c>
      <c r="W48" s="204" t="s">
        <v>270</v>
      </c>
    </row>
    <row r="49" spans="1:23" ht="13.5" thickBot="1">
      <c r="A49" s="159"/>
      <c r="B49" s="159"/>
      <c r="C49" s="205"/>
      <c r="D49" s="159"/>
      <c r="E49" s="206"/>
      <c r="F49" s="207" t="str">
        <f ca="1">IF(F48='PSO.WS.F.BPU.ATRR.Projected'!O19,"","Error")</f>
        <v/>
      </c>
      <c r="G49" s="207"/>
      <c r="H49" s="159"/>
      <c r="I49" s="208" t="str">
        <f ca="1">IF(ROUND(I48,0)=ROUND('PSO.WS.G.BPU.ATRR.True-up'!N19,0),"","Error")</f>
        <v/>
      </c>
      <c r="J49" s="209"/>
      <c r="K49" s="210" t="str">
        <f>IF(K48=SUM(K18:K47),"","Error -- check allocations above).")</f>
        <v/>
      </c>
      <c r="L49" s="211"/>
      <c r="M49" s="211"/>
      <c r="N49" s="211"/>
      <c r="O49" s="211"/>
      <c r="P49" s="211"/>
      <c r="Q49" s="210" t="str">
        <f ca="1">IF(Q48=SUM(Q18:Q47),"","Error -- check allocations above).")</f>
        <v/>
      </c>
      <c r="R49" s="187"/>
      <c r="S49" s="187"/>
      <c r="T49" s="187"/>
      <c r="V49" s="212"/>
      <c r="W49" s="204"/>
    </row>
    <row r="50" spans="1:23">
      <c r="A50" s="159"/>
      <c r="B50" s="159"/>
      <c r="C50" s="213" t="s">
        <v>217</v>
      </c>
      <c r="D50" s="159"/>
      <c r="E50" s="187"/>
      <c r="F50" s="187"/>
      <c r="G50" s="187"/>
      <c r="H50" s="159"/>
      <c r="I50" s="214"/>
      <c r="J50" s="214"/>
      <c r="K50" s="159"/>
      <c r="L50" s="159"/>
      <c r="M50" s="159"/>
      <c r="N50" s="211"/>
      <c r="O50" s="211"/>
      <c r="P50" s="211"/>
      <c r="Q50" s="211"/>
      <c r="R50" s="187"/>
      <c r="S50" s="187"/>
      <c r="T50" s="187"/>
    </row>
    <row r="51" spans="1:23">
      <c r="A51" s="159"/>
      <c r="B51" s="159"/>
      <c r="C51" s="213"/>
      <c r="D51" s="159"/>
      <c r="E51" s="187"/>
      <c r="F51" s="187"/>
      <c r="G51" s="187"/>
      <c r="H51" s="159"/>
      <c r="I51" s="215"/>
      <c r="J51" s="216"/>
      <c r="K51" s="186"/>
      <c r="L51" s="159"/>
      <c r="M51" s="159"/>
      <c r="N51" s="211"/>
      <c r="O51" s="211"/>
      <c r="P51" s="211"/>
      <c r="Q51" s="630"/>
      <c r="R51" s="211"/>
      <c r="S51" s="159"/>
      <c r="T51" s="159"/>
    </row>
    <row r="52" spans="1:23">
      <c r="E52" s="217"/>
      <c r="F52" s="217"/>
      <c r="G52" s="217"/>
      <c r="I52" s="217"/>
      <c r="J52" s="218"/>
      <c r="N52" s="219"/>
      <c r="O52" s="219"/>
      <c r="P52" s="219"/>
      <c r="Q52" s="220"/>
      <c r="R52" s="219"/>
    </row>
    <row r="53" spans="1:23">
      <c r="E53" s="217"/>
      <c r="F53" s="217"/>
      <c r="G53" s="217"/>
    </row>
    <row r="54" spans="1:23">
      <c r="A54" s="221" t="s">
        <v>188</v>
      </c>
      <c r="B54" s="222"/>
      <c r="C54" s="222"/>
      <c r="D54" s="222"/>
      <c r="E54" s="223"/>
      <c r="F54" s="223"/>
      <c r="G54" s="223"/>
      <c r="H54" s="222"/>
      <c r="I54" s="222"/>
      <c r="J54" s="222"/>
      <c r="K54" s="222"/>
      <c r="L54" s="222"/>
      <c r="M54" s="222"/>
      <c r="N54" s="222"/>
      <c r="O54" s="224"/>
      <c r="V54" s="148" t="s">
        <v>201</v>
      </c>
    </row>
    <row r="55" spans="1:23" ht="15.75">
      <c r="A55" s="225" t="s">
        <v>191</v>
      </c>
      <c r="B55" s="195"/>
      <c r="C55" s="226" t="str">
        <f ca="1">RIGHT(CELL("address",P.001!D7),4)</f>
        <v>$D$7</v>
      </c>
      <c r="D55" s="226" t="str">
        <f ca="1">RIGHT(CELL("address",P.001!D11),4)</f>
        <v>D$11</v>
      </c>
      <c r="E55" s="226" t="str">
        <f ca="1">RIGHT(CELL("address",P.001!N5),4)</f>
        <v>$N$5</v>
      </c>
      <c r="F55" s="226" t="str">
        <f ca="1">RIGHT(CELL("address",P.001!N7),4)</f>
        <v>$N$7</v>
      </c>
      <c r="G55" s="195"/>
      <c r="H55" s="227"/>
      <c r="I55" s="226" t="str">
        <f ca="1">RIGHT(CELL("address",P.001!M89),4)</f>
        <v>M$89</v>
      </c>
      <c r="J55" s="226"/>
      <c r="K55" s="195"/>
      <c r="L55" s="195"/>
      <c r="M55" s="195"/>
      <c r="N55" s="226" t="str">
        <f ca="1">RIGHT(CELL("address",P.001!N87),4)</f>
        <v>N$87</v>
      </c>
      <c r="O55" s="228" t="str">
        <f ca="1">RIGHT(CELL("address",P.001!N88),4)</f>
        <v>N$88</v>
      </c>
      <c r="P55" s="178" t="s">
        <v>190</v>
      </c>
      <c r="V55" s="148" t="s">
        <v>202</v>
      </c>
    </row>
    <row r="56" spans="1:23">
      <c r="A56" s="229" t="s">
        <v>192</v>
      </c>
      <c r="B56" s="230"/>
      <c r="C56" s="230"/>
      <c r="D56" s="230"/>
      <c r="E56" s="231"/>
      <c r="F56" s="231"/>
      <c r="G56" s="231"/>
      <c r="H56" s="230"/>
      <c r="I56" s="230"/>
      <c r="J56" s="230"/>
      <c r="K56" s="230"/>
      <c r="L56" s="230"/>
      <c r="M56" s="230"/>
      <c r="N56" s="230"/>
      <c r="O56" s="232"/>
      <c r="V56" s="148" t="s">
        <v>203</v>
      </c>
    </row>
    <row r="57" spans="1:23">
      <c r="E57" s="217"/>
      <c r="F57" s="217"/>
      <c r="G57" s="217"/>
      <c r="V57" s="148" t="s">
        <v>204</v>
      </c>
    </row>
    <row r="58" spans="1:23">
      <c r="A58" s="233" t="s">
        <v>244</v>
      </c>
      <c r="B58" s="233" t="s">
        <v>245</v>
      </c>
      <c r="E58" s="217"/>
      <c r="F58" s="217"/>
      <c r="G58" s="217"/>
      <c r="V58" s="234" t="s">
        <v>225</v>
      </c>
    </row>
    <row r="59" spans="1:23">
      <c r="B59" s="233" t="s">
        <v>248</v>
      </c>
      <c r="E59" s="217"/>
      <c r="F59" s="217"/>
      <c r="G59" s="217"/>
    </row>
    <row r="60" spans="1:23">
      <c r="B60" s="233" t="s">
        <v>249</v>
      </c>
      <c r="E60" s="217"/>
      <c r="F60" s="217"/>
      <c r="G60" s="217"/>
    </row>
    <row r="61" spans="1:23">
      <c r="B61" s="233" t="s">
        <v>246</v>
      </c>
      <c r="E61" s="217"/>
      <c r="F61" s="217"/>
      <c r="G61" s="217"/>
      <c r="K61" s="237"/>
    </row>
    <row r="62" spans="1:23">
      <c r="B62" s="233" t="s">
        <v>247</v>
      </c>
      <c r="E62" s="217"/>
      <c r="F62" s="217"/>
      <c r="G62" s="217"/>
      <c r="K62" s="235"/>
    </row>
    <row r="63" spans="1:23">
      <c r="B63" s="233" t="s">
        <v>250</v>
      </c>
      <c r="E63" s="217"/>
      <c r="F63" s="217"/>
      <c r="G63" s="217"/>
    </row>
    <row r="66" spans="5:10" ht="12.75" customHeight="1">
      <c r="E66" s="160"/>
      <c r="F66" s="160"/>
      <c r="G66" s="160"/>
      <c r="H66" s="160"/>
      <c r="I66" s="236"/>
      <c r="J66" s="236"/>
    </row>
    <row r="68" spans="5:10" ht="12.75" customHeight="1">
      <c r="E68" s="215"/>
      <c r="F68" s="215"/>
      <c r="G68" s="237"/>
      <c r="H68" s="237"/>
      <c r="I68" s="238"/>
      <c r="J68" s="239"/>
    </row>
    <row r="69" spans="5:10" ht="12.75" customHeight="1">
      <c r="E69" s="215"/>
      <c r="F69" s="215"/>
      <c r="G69" s="237"/>
      <c r="H69" s="237"/>
      <c r="I69" s="238"/>
      <c r="J69" s="239"/>
    </row>
    <row r="70" spans="5:10" ht="12.75" customHeight="1">
      <c r="E70" s="215"/>
      <c r="F70" s="215"/>
      <c r="G70" s="237"/>
      <c r="H70" s="237"/>
      <c r="I70" s="238"/>
      <c r="J70" s="239"/>
    </row>
    <row r="71" spans="5:10" ht="12.75" customHeight="1">
      <c r="E71" s="215"/>
      <c r="F71" s="215"/>
      <c r="G71" s="237"/>
      <c r="H71" s="237"/>
      <c r="I71" s="238"/>
      <c r="J71" s="239"/>
    </row>
    <row r="72" spans="5:10" ht="12.75" customHeight="1">
      <c r="E72" s="215"/>
      <c r="F72" s="215"/>
      <c r="G72" s="237"/>
      <c r="H72" s="237"/>
      <c r="I72" s="238"/>
      <c r="J72" s="239"/>
    </row>
    <row r="73" spans="5:10" ht="12.75" customHeight="1">
      <c r="E73" s="215"/>
      <c r="F73" s="215"/>
      <c r="G73" s="237"/>
      <c r="H73" s="237"/>
      <c r="I73" s="238"/>
      <c r="J73" s="239"/>
    </row>
    <row r="74" spans="5:10" ht="12.75" customHeight="1">
      <c r="E74" s="215"/>
      <c r="F74" s="215"/>
      <c r="G74" s="237"/>
      <c r="H74" s="237"/>
      <c r="I74" s="238"/>
      <c r="J74" s="239"/>
    </row>
    <row r="75" spans="5:10" ht="12.75" customHeight="1">
      <c r="E75" s="215"/>
      <c r="F75" s="215"/>
      <c r="G75" s="237"/>
      <c r="H75" s="237"/>
      <c r="I75" s="238"/>
      <c r="J75" s="239"/>
    </row>
    <row r="76" spans="5:10" ht="12.75" customHeight="1">
      <c r="E76" s="215"/>
      <c r="F76" s="215"/>
      <c r="G76" s="237"/>
      <c r="H76" s="237"/>
      <c r="I76" s="238"/>
      <c r="J76" s="239"/>
    </row>
    <row r="77" spans="5:10" ht="12.75" customHeight="1">
      <c r="E77" s="215"/>
      <c r="F77" s="215"/>
      <c r="G77" s="237"/>
      <c r="H77" s="237"/>
      <c r="I77" s="238"/>
      <c r="J77" s="239"/>
    </row>
    <row r="78" spans="5:10" ht="12.75" customHeight="1">
      <c r="E78" s="215"/>
      <c r="F78" s="215"/>
      <c r="G78" s="237"/>
      <c r="H78" s="237"/>
      <c r="I78" s="238"/>
      <c r="J78" s="239"/>
    </row>
    <row r="79" spans="5:10" ht="12.75" customHeight="1">
      <c r="E79" s="215"/>
      <c r="F79" s="215"/>
      <c r="G79" s="237"/>
      <c r="H79" s="237"/>
      <c r="I79" s="238"/>
      <c r="J79" s="239"/>
    </row>
    <row r="80" spans="5:10" ht="12.75" customHeight="1">
      <c r="E80" s="215"/>
      <c r="F80" s="215"/>
      <c r="G80" s="237"/>
      <c r="H80" s="237"/>
      <c r="I80" s="238"/>
      <c r="J80" s="239"/>
    </row>
    <row r="81" spans="5:10" ht="12.75" customHeight="1">
      <c r="E81" s="215"/>
      <c r="F81" s="215"/>
      <c r="G81" s="237"/>
      <c r="H81" s="237"/>
      <c r="I81" s="238"/>
      <c r="J81" s="239"/>
    </row>
    <row r="82" spans="5:10" ht="12.75" customHeight="1">
      <c r="E82" s="215"/>
      <c r="F82" s="215"/>
      <c r="G82" s="237"/>
      <c r="H82" s="237"/>
      <c r="I82" s="238"/>
      <c r="J82" s="239"/>
    </row>
    <row r="83" spans="5:10" ht="12.75" customHeight="1">
      <c r="E83" s="215"/>
      <c r="F83" s="215"/>
      <c r="G83" s="237"/>
      <c r="H83" s="237"/>
      <c r="I83" s="238"/>
      <c r="J83" s="239"/>
    </row>
    <row r="84" spans="5:10" ht="12.75" customHeight="1">
      <c r="E84" s="215"/>
      <c r="F84" s="215"/>
      <c r="G84" s="237"/>
      <c r="H84" s="237"/>
      <c r="I84" s="238"/>
      <c r="J84" s="239"/>
    </row>
    <row r="85" spans="5:10" ht="12.75" customHeight="1">
      <c r="E85" s="215"/>
      <c r="F85" s="215"/>
      <c r="G85" s="237"/>
      <c r="H85" s="237"/>
      <c r="I85" s="238"/>
      <c r="J85" s="239"/>
    </row>
    <row r="86" spans="5:10" ht="12.75" customHeight="1">
      <c r="E86" s="215"/>
      <c r="F86" s="215"/>
      <c r="G86" s="237"/>
      <c r="H86" s="237"/>
      <c r="I86" s="238"/>
      <c r="J86" s="239"/>
    </row>
    <row r="87" spans="5:10" ht="12.75" customHeight="1">
      <c r="E87" s="215"/>
      <c r="F87" s="215"/>
      <c r="G87" s="237"/>
      <c r="H87" s="237"/>
      <c r="I87" s="238"/>
      <c r="J87" s="239"/>
    </row>
    <row r="88" spans="5:10" ht="12.75" customHeight="1">
      <c r="E88" s="215"/>
      <c r="F88" s="215"/>
      <c r="G88" s="237"/>
      <c r="H88" s="237"/>
      <c r="I88" s="238"/>
      <c r="J88" s="239"/>
    </row>
    <row r="89" spans="5:10" ht="12.75" customHeight="1">
      <c r="E89" s="215"/>
      <c r="F89" s="215"/>
      <c r="G89" s="237"/>
      <c r="H89" s="237"/>
      <c r="I89" s="238"/>
      <c r="J89" s="239"/>
    </row>
    <row r="90" spans="5:10" ht="12.75" customHeight="1">
      <c r="E90" s="215"/>
      <c r="F90" s="215"/>
      <c r="G90" s="237"/>
      <c r="H90" s="237"/>
      <c r="I90" s="238"/>
      <c r="J90" s="239"/>
    </row>
    <row r="91" spans="5:10" ht="12.75" customHeight="1">
      <c r="E91" s="215"/>
      <c r="F91" s="215"/>
      <c r="G91" s="237"/>
      <c r="H91" s="237"/>
      <c r="I91" s="238"/>
      <c r="J91" s="239"/>
    </row>
    <row r="92" spans="5:10" ht="12.75" customHeight="1">
      <c r="E92" s="215"/>
      <c r="F92" s="215"/>
      <c r="G92" s="237"/>
      <c r="H92" s="237"/>
      <c r="I92" s="238"/>
      <c r="J92" s="239"/>
    </row>
    <row r="93" spans="5:10" ht="12.75" customHeight="1">
      <c r="E93" s="237"/>
      <c r="F93" s="237"/>
      <c r="H93" s="237"/>
      <c r="I93" s="237"/>
      <c r="J93" s="237"/>
    </row>
    <row r="94" spans="5:10" ht="12.75" customHeight="1">
      <c r="E94" s="237"/>
      <c r="F94" s="237"/>
      <c r="G94" s="237"/>
      <c r="H94" s="237"/>
      <c r="I94" s="237"/>
      <c r="J94" s="237"/>
    </row>
  </sheetData>
  <mergeCells count="2">
    <mergeCell ref="E13:G13"/>
    <mergeCell ref="T14:T16"/>
  </mergeCells>
  <phoneticPr fontId="62" type="noConversion"/>
  <pageMargins left="0.25" right="0.25" top="1" bottom="1" header="0.65" footer="0.5"/>
  <pageSetup scale="49" orientation="landscape" r:id="rId1"/>
  <headerFooter alignWithMargins="0">
    <oddHeader xml:space="preserve">&amp;R&amp;16AEP - SPP Formula Rate
Schedule 11 Revenue Requirements
Public Service Company of Oklahoma
Page: &amp;P of &amp;N
</oddHeader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5">
    <tabColor rgb="FFC00000"/>
  </sheetPr>
  <dimension ref="A1:P162"/>
  <sheetViews>
    <sheetView zoomScaleNormal="100" zoomScaleSheetLayoutView="75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7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8467.8802590192263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8467.8802590192263</v>
      </c>
      <c r="O6" s="233"/>
      <c r="P6" s="233"/>
    </row>
    <row r="7" spans="1:16" ht="13.5" thickBot="1">
      <c r="C7" s="431" t="s">
        <v>46</v>
      </c>
      <c r="D7" s="432" t="s">
        <v>214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86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84424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2007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IF(D10=0,0,ROUND(D10/D13,0))</f>
        <v>1963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2007</v>
      </c>
      <c r="D17" s="473">
        <v>84424</v>
      </c>
      <c r="E17" s="474">
        <v>0</v>
      </c>
      <c r="F17" s="473">
        <v>84424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2008</v>
      </c>
      <c r="D18" s="479">
        <v>84424</v>
      </c>
      <c r="E18" s="480">
        <v>1508</v>
      </c>
      <c r="F18" s="479">
        <v>82916</v>
      </c>
      <c r="G18" s="480">
        <v>0</v>
      </c>
      <c r="H18" s="481">
        <v>0</v>
      </c>
      <c r="I18" s="475">
        <f t="shared" si="0"/>
        <v>0</v>
      </c>
      <c r="J18" s="475"/>
      <c r="K18" s="476">
        <v>0</v>
      </c>
      <c r="L18" s="478">
        <f t="shared" si="1"/>
        <v>0</v>
      </c>
      <c r="M18" s="476">
        <v>0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/>
      </c>
      <c r="C19" s="472">
        <f>IF(D11="","-",+C18+1)</f>
        <v>2009</v>
      </c>
      <c r="D19" s="479">
        <v>82916</v>
      </c>
      <c r="E19" s="480">
        <v>1508</v>
      </c>
      <c r="F19" s="479">
        <v>81408</v>
      </c>
      <c r="G19" s="480">
        <v>0</v>
      </c>
      <c r="H19" s="481">
        <v>0</v>
      </c>
      <c r="I19" s="475">
        <f t="shared" si="0"/>
        <v>0</v>
      </c>
      <c r="J19" s="475"/>
      <c r="K19" s="476">
        <v>0</v>
      </c>
      <c r="L19" s="478">
        <f t="shared" si="1"/>
        <v>0</v>
      </c>
      <c r="M19" s="476">
        <v>0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4">IF(D20=F19,"","IU")</f>
        <v/>
      </c>
      <c r="C20" s="472">
        <f>IF(D11="","-",+C19+1)</f>
        <v>2010</v>
      </c>
      <c r="D20" s="479">
        <v>81408</v>
      </c>
      <c r="E20" s="480">
        <v>1508</v>
      </c>
      <c r="F20" s="479">
        <v>79900</v>
      </c>
      <c r="G20" s="480">
        <v>13037.291488737637</v>
      </c>
      <c r="H20" s="481">
        <v>13037.291488737637</v>
      </c>
      <c r="I20" s="475">
        <v>0</v>
      </c>
      <c r="J20" s="475"/>
      <c r="K20" s="540">
        <f t="shared" ref="K20:K25" si="5">G20</f>
        <v>13037.291488737637</v>
      </c>
      <c r="L20" s="541">
        <f t="shared" si="1"/>
        <v>0</v>
      </c>
      <c r="M20" s="540">
        <f t="shared" ref="M20:M25" si="6">H20</f>
        <v>13037.291488737637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4"/>
        <v/>
      </c>
      <c r="C21" s="472">
        <f>IF(D11="","-",+C20+1)</f>
        <v>2011</v>
      </c>
      <c r="D21" s="479">
        <v>79900</v>
      </c>
      <c r="E21" s="480">
        <v>1655</v>
      </c>
      <c r="F21" s="479">
        <v>78245</v>
      </c>
      <c r="G21" s="480">
        <v>13903.733792156472</v>
      </c>
      <c r="H21" s="481">
        <v>13903.733792156472</v>
      </c>
      <c r="I21" s="475">
        <f t="shared" si="0"/>
        <v>0</v>
      </c>
      <c r="J21" s="475"/>
      <c r="K21" s="476">
        <f t="shared" si="5"/>
        <v>13903.733792156472</v>
      </c>
      <c r="L21" s="550">
        <f t="shared" si="1"/>
        <v>0</v>
      </c>
      <c r="M21" s="476">
        <f t="shared" si="6"/>
        <v>13903.733792156472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si="4"/>
        <v/>
      </c>
      <c r="C22" s="472">
        <f>IF(D11="","-",+C21+1)</f>
        <v>2012</v>
      </c>
      <c r="D22" s="479">
        <v>78245</v>
      </c>
      <c r="E22" s="480">
        <v>1624</v>
      </c>
      <c r="F22" s="479">
        <v>76621</v>
      </c>
      <c r="G22" s="480">
        <v>12290.159159207155</v>
      </c>
      <c r="H22" s="481">
        <v>12290.159159207155</v>
      </c>
      <c r="I22" s="475">
        <f t="shared" si="0"/>
        <v>0</v>
      </c>
      <c r="J22" s="475"/>
      <c r="K22" s="476">
        <f t="shared" si="5"/>
        <v>12290.159159207155</v>
      </c>
      <c r="L22" s="550">
        <f t="shared" si="1"/>
        <v>0</v>
      </c>
      <c r="M22" s="476">
        <f t="shared" si="6"/>
        <v>12290.159159207155</v>
      </c>
      <c r="N22" s="478">
        <f t="shared" si="2"/>
        <v>0</v>
      </c>
      <c r="O22" s="478">
        <f t="shared" si="3"/>
        <v>0</v>
      </c>
      <c r="P22" s="243"/>
    </row>
    <row r="23" spans="2:16">
      <c r="B23" s="160" t="str">
        <f t="shared" si="4"/>
        <v/>
      </c>
      <c r="C23" s="472">
        <f>IF(D11="","-",+C22+1)</f>
        <v>2013</v>
      </c>
      <c r="D23" s="479">
        <v>76621</v>
      </c>
      <c r="E23" s="480">
        <v>1624</v>
      </c>
      <c r="F23" s="479">
        <v>74997</v>
      </c>
      <c r="G23" s="480">
        <v>12334.078606810854</v>
      </c>
      <c r="H23" s="481">
        <v>12334.078606810854</v>
      </c>
      <c r="I23" s="475">
        <v>0</v>
      </c>
      <c r="J23" s="475"/>
      <c r="K23" s="476">
        <f t="shared" si="5"/>
        <v>12334.078606810854</v>
      </c>
      <c r="L23" s="550">
        <f t="shared" ref="L23:L28" si="7">IF(K23&lt;&gt;0,+G23-K23,0)</f>
        <v>0</v>
      </c>
      <c r="M23" s="476">
        <f t="shared" si="6"/>
        <v>12334.078606810854</v>
      </c>
      <c r="N23" s="478">
        <f t="shared" ref="N23:N28" si="8">IF(M23&lt;&gt;0,+H23-M23,0)</f>
        <v>0</v>
      </c>
      <c r="O23" s="478">
        <f t="shared" ref="O23:O28" si="9">+N23-L23</f>
        <v>0</v>
      </c>
      <c r="P23" s="243"/>
    </row>
    <row r="24" spans="2:16">
      <c r="B24" s="160" t="str">
        <f t="shared" si="4"/>
        <v/>
      </c>
      <c r="C24" s="472">
        <f>IF(D11="","-",+C23+1)</f>
        <v>2014</v>
      </c>
      <c r="D24" s="479">
        <v>74997</v>
      </c>
      <c r="E24" s="480">
        <v>1624</v>
      </c>
      <c r="F24" s="479">
        <v>73373</v>
      </c>
      <c r="G24" s="480">
        <v>11724.436761777028</v>
      </c>
      <c r="H24" s="481">
        <v>11724.436761777028</v>
      </c>
      <c r="I24" s="475">
        <v>0</v>
      </c>
      <c r="J24" s="475"/>
      <c r="K24" s="476">
        <f t="shared" si="5"/>
        <v>11724.436761777028</v>
      </c>
      <c r="L24" s="550">
        <f t="shared" si="7"/>
        <v>0</v>
      </c>
      <c r="M24" s="476">
        <f t="shared" si="6"/>
        <v>11724.436761777028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4"/>
        <v/>
      </c>
      <c r="C25" s="472">
        <f>IF(D11="","-",+C24+1)</f>
        <v>2015</v>
      </c>
      <c r="D25" s="479">
        <v>73373</v>
      </c>
      <c r="E25" s="480">
        <v>1624</v>
      </c>
      <c r="F25" s="479">
        <v>71749</v>
      </c>
      <c r="G25" s="480">
        <v>11516.153501332747</v>
      </c>
      <c r="H25" s="481">
        <v>11516.153501332747</v>
      </c>
      <c r="I25" s="475">
        <v>0</v>
      </c>
      <c r="J25" s="475"/>
      <c r="K25" s="476">
        <f t="shared" si="5"/>
        <v>11516.153501332747</v>
      </c>
      <c r="L25" s="550">
        <f t="shared" si="7"/>
        <v>0</v>
      </c>
      <c r="M25" s="476">
        <f t="shared" si="6"/>
        <v>11516.153501332747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4"/>
        <v/>
      </c>
      <c r="C26" s="472">
        <f>IF(D11="","-",+C25+1)</f>
        <v>2016</v>
      </c>
      <c r="D26" s="479">
        <v>71749</v>
      </c>
      <c r="E26" s="480">
        <v>1624</v>
      </c>
      <c r="F26" s="479">
        <v>70125</v>
      </c>
      <c r="G26" s="480">
        <v>10821.569336122064</v>
      </c>
      <c r="H26" s="481">
        <v>10821.569336122064</v>
      </c>
      <c r="I26" s="475">
        <f t="shared" si="0"/>
        <v>0</v>
      </c>
      <c r="J26" s="475"/>
      <c r="K26" s="476">
        <f t="shared" ref="K26:K31" si="10">G26</f>
        <v>10821.569336122064</v>
      </c>
      <c r="L26" s="550">
        <f t="shared" si="7"/>
        <v>0</v>
      </c>
      <c r="M26" s="476">
        <f t="shared" ref="M26:M31" si="11">H26</f>
        <v>10821.569336122064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4"/>
        <v/>
      </c>
      <c r="C27" s="472">
        <f>IF(D11="","-",+C26+1)</f>
        <v>2017</v>
      </c>
      <c r="D27" s="479">
        <v>70125</v>
      </c>
      <c r="E27" s="480">
        <v>1835</v>
      </c>
      <c r="F27" s="479">
        <v>68290</v>
      </c>
      <c r="G27" s="480">
        <v>10525.630110064558</v>
      </c>
      <c r="H27" s="481">
        <v>10525.630110064558</v>
      </c>
      <c r="I27" s="475">
        <f t="shared" si="0"/>
        <v>0</v>
      </c>
      <c r="J27" s="475"/>
      <c r="K27" s="476">
        <f t="shared" si="10"/>
        <v>10525.630110064558</v>
      </c>
      <c r="L27" s="550">
        <f t="shared" si="7"/>
        <v>0</v>
      </c>
      <c r="M27" s="476">
        <f t="shared" si="11"/>
        <v>10525.630110064558</v>
      </c>
      <c r="N27" s="478">
        <f t="shared" si="8"/>
        <v>0</v>
      </c>
      <c r="O27" s="478">
        <f t="shared" si="9"/>
        <v>0</v>
      </c>
      <c r="P27" s="243"/>
    </row>
    <row r="28" spans="2:16">
      <c r="B28" s="160" t="str">
        <f t="shared" si="4"/>
        <v/>
      </c>
      <c r="C28" s="472">
        <f>IF(D11="","-",+C27+1)</f>
        <v>2018</v>
      </c>
      <c r="D28" s="479">
        <v>68290</v>
      </c>
      <c r="E28" s="480">
        <v>1876</v>
      </c>
      <c r="F28" s="479">
        <v>66414</v>
      </c>
      <c r="G28" s="480">
        <v>10864.165928547483</v>
      </c>
      <c r="H28" s="481">
        <v>10864.165928547483</v>
      </c>
      <c r="I28" s="475">
        <f t="shared" si="0"/>
        <v>0</v>
      </c>
      <c r="J28" s="475"/>
      <c r="K28" s="476">
        <f t="shared" si="10"/>
        <v>10864.165928547483</v>
      </c>
      <c r="L28" s="550">
        <f t="shared" si="7"/>
        <v>0</v>
      </c>
      <c r="M28" s="476">
        <f t="shared" si="11"/>
        <v>10864.165928547483</v>
      </c>
      <c r="N28" s="478">
        <f t="shared" si="8"/>
        <v>0</v>
      </c>
      <c r="O28" s="478">
        <f t="shared" si="9"/>
        <v>0</v>
      </c>
      <c r="P28" s="243"/>
    </row>
    <row r="29" spans="2:16">
      <c r="B29" s="160" t="str">
        <f t="shared" si="4"/>
        <v/>
      </c>
      <c r="C29" s="472">
        <f>IF(D11="","-",+C28+1)</f>
        <v>2019</v>
      </c>
      <c r="D29" s="479">
        <v>66414</v>
      </c>
      <c r="E29" s="480">
        <v>1876</v>
      </c>
      <c r="F29" s="479">
        <v>64538</v>
      </c>
      <c r="G29" s="480">
        <v>10610.276699138698</v>
      </c>
      <c r="H29" s="481">
        <v>10610.276699138698</v>
      </c>
      <c r="I29" s="475">
        <f t="shared" si="0"/>
        <v>0</v>
      </c>
      <c r="J29" s="475"/>
      <c r="K29" s="476">
        <f t="shared" si="10"/>
        <v>10610.276699138698</v>
      </c>
      <c r="L29" s="550">
        <f t="shared" ref="L29" si="12">IF(K29&lt;&gt;0,+G29-K29,0)</f>
        <v>0</v>
      </c>
      <c r="M29" s="476">
        <f t="shared" si="11"/>
        <v>10610.276699138698</v>
      </c>
      <c r="N29" s="478">
        <f t="shared" ref="N29" si="13">IF(M29&lt;&gt;0,+H29-M29,0)</f>
        <v>0</v>
      </c>
      <c r="O29" s="478">
        <f t="shared" ref="O29" si="14">+N29-L29</f>
        <v>0</v>
      </c>
      <c r="P29" s="243"/>
    </row>
    <row r="30" spans="2:16">
      <c r="B30" s="160" t="str">
        <f t="shared" si="4"/>
        <v/>
      </c>
      <c r="C30" s="472">
        <f>IF(D11="","-",+C29+1)</f>
        <v>2020</v>
      </c>
      <c r="D30" s="479">
        <v>64538</v>
      </c>
      <c r="E30" s="480">
        <v>2010</v>
      </c>
      <c r="F30" s="479">
        <v>62528</v>
      </c>
      <c r="G30" s="480">
        <v>8871.8674914200565</v>
      </c>
      <c r="H30" s="481">
        <v>8871.8674914200565</v>
      </c>
      <c r="I30" s="475">
        <f t="shared" si="0"/>
        <v>0</v>
      </c>
      <c r="J30" s="475"/>
      <c r="K30" s="476">
        <f t="shared" si="10"/>
        <v>8871.8674914200565</v>
      </c>
      <c r="L30" s="550">
        <f t="shared" ref="L30" si="15">IF(K30&lt;&gt;0,+G30-K30,0)</f>
        <v>0</v>
      </c>
      <c r="M30" s="476">
        <f t="shared" si="11"/>
        <v>8871.8674914200565</v>
      </c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4"/>
        <v>IU</v>
      </c>
      <c r="C31" s="472">
        <f>IF(D11="","-",+C30+1)</f>
        <v>2021</v>
      </c>
      <c r="D31" s="479">
        <v>62293</v>
      </c>
      <c r="E31" s="480">
        <v>1963</v>
      </c>
      <c r="F31" s="479">
        <v>60330</v>
      </c>
      <c r="G31" s="480">
        <v>8467.8802590192263</v>
      </c>
      <c r="H31" s="481">
        <v>8467.8802590192263</v>
      </c>
      <c r="I31" s="475">
        <f t="shared" si="0"/>
        <v>0</v>
      </c>
      <c r="J31" s="475"/>
      <c r="K31" s="476">
        <f t="shared" si="10"/>
        <v>8467.8802590192263</v>
      </c>
      <c r="L31" s="550">
        <f t="shared" ref="L31" si="16">IF(K31&lt;&gt;0,+G31-K31,0)</f>
        <v>0</v>
      </c>
      <c r="M31" s="476">
        <f t="shared" si="11"/>
        <v>8467.8802590192263</v>
      </c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4"/>
        <v>IU</v>
      </c>
      <c r="C32" s="472">
        <f>IF(D11="","-",+C31+1)</f>
        <v>2022</v>
      </c>
      <c r="D32" s="485">
        <f>IF(F31+SUM(E$17:E31)=D$10,F31,D$10-SUM(E$17:E31))</f>
        <v>60565</v>
      </c>
      <c r="E32" s="484">
        <f>IF(+I14&lt;F31,I14,D32)</f>
        <v>1963</v>
      </c>
      <c r="F32" s="485">
        <f t="shared" ref="F32:F48" si="17">+D32-E32</f>
        <v>58602</v>
      </c>
      <c r="G32" s="486">
        <f t="shared" ref="G32:G71" si="18">(D32+F32)/2*I$12+E32</f>
        <v>8818.4591517746649</v>
      </c>
      <c r="H32" s="455">
        <f t="shared" ref="H32:H71" si="19">+(D32+F32)/2*I$13+E32</f>
        <v>8818.4591517746649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4"/>
        <v/>
      </c>
      <c r="C33" s="472">
        <f>IF(D11="","-",+C32+1)</f>
        <v>2023</v>
      </c>
      <c r="D33" s="485">
        <f>IF(F32+SUM(E$17:E32)=D$10,F32,D$10-SUM(E$17:E32))</f>
        <v>58602</v>
      </c>
      <c r="E33" s="484">
        <f>IF(+I14&lt;F32,I14,D33)</f>
        <v>1963</v>
      </c>
      <c r="F33" s="485">
        <f t="shared" si="17"/>
        <v>56639</v>
      </c>
      <c r="G33" s="486">
        <f t="shared" si="18"/>
        <v>8592.6035656655295</v>
      </c>
      <c r="H33" s="455">
        <f t="shared" si="19"/>
        <v>8592.6035656655295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4"/>
        <v/>
      </c>
      <c r="C34" s="472">
        <f>IF(D11="","-",+C33+1)</f>
        <v>2024</v>
      </c>
      <c r="D34" s="485">
        <f>IF(F33+SUM(E$17:E33)=D$10,F33,D$10-SUM(E$17:E33))</f>
        <v>56639</v>
      </c>
      <c r="E34" s="484">
        <f>IF(+I14&lt;F33,I14,D34)</f>
        <v>1963</v>
      </c>
      <c r="F34" s="485">
        <f t="shared" si="17"/>
        <v>54676</v>
      </c>
      <c r="G34" s="486">
        <f t="shared" si="18"/>
        <v>8366.7479795563941</v>
      </c>
      <c r="H34" s="455">
        <f t="shared" si="19"/>
        <v>8366.7479795563941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4"/>
        <v/>
      </c>
      <c r="C35" s="472">
        <f>IF(D11="","-",+C34+1)</f>
        <v>2025</v>
      </c>
      <c r="D35" s="485">
        <f>IF(F34+SUM(E$17:E34)=D$10,F34,D$10-SUM(E$17:E34))</f>
        <v>54676</v>
      </c>
      <c r="E35" s="484">
        <f>IF(+I14&lt;F34,I14,D35)</f>
        <v>1963</v>
      </c>
      <c r="F35" s="485">
        <f t="shared" si="17"/>
        <v>52713</v>
      </c>
      <c r="G35" s="486">
        <f t="shared" si="18"/>
        <v>8140.8923934472587</v>
      </c>
      <c r="H35" s="455">
        <f t="shared" si="19"/>
        <v>8140.8923934472587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4"/>
        <v/>
      </c>
      <c r="C36" s="472">
        <f>IF(D11="","-",+C35+1)</f>
        <v>2026</v>
      </c>
      <c r="D36" s="485">
        <f>IF(F35+SUM(E$17:E35)=D$10,F35,D$10-SUM(E$17:E35))</f>
        <v>52713</v>
      </c>
      <c r="E36" s="484">
        <f>IF(+I14&lt;F35,I14,D36)</f>
        <v>1963</v>
      </c>
      <c r="F36" s="485">
        <f t="shared" si="17"/>
        <v>50750</v>
      </c>
      <c r="G36" s="486">
        <f t="shared" si="18"/>
        <v>7915.0368073381233</v>
      </c>
      <c r="H36" s="455">
        <f t="shared" si="19"/>
        <v>7915.0368073381233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4"/>
        <v/>
      </c>
      <c r="C37" s="472">
        <f>IF(D11="","-",+C36+1)</f>
        <v>2027</v>
      </c>
      <c r="D37" s="485">
        <f>IF(F36+SUM(E$17:E36)=D$10,F36,D$10-SUM(E$17:E36))</f>
        <v>50750</v>
      </c>
      <c r="E37" s="484">
        <f>IF(+I14&lt;F36,I14,D37)</f>
        <v>1963</v>
      </c>
      <c r="F37" s="485">
        <f t="shared" si="17"/>
        <v>48787</v>
      </c>
      <c r="G37" s="486">
        <f t="shared" si="18"/>
        <v>7689.1812212289879</v>
      </c>
      <c r="H37" s="455">
        <f t="shared" si="19"/>
        <v>7689.1812212289879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4"/>
        <v/>
      </c>
      <c r="C38" s="472">
        <f>IF(D11="","-",+C37+1)</f>
        <v>2028</v>
      </c>
      <c r="D38" s="485">
        <f>IF(F37+SUM(E$17:E37)=D$10,F37,D$10-SUM(E$17:E37))</f>
        <v>48787</v>
      </c>
      <c r="E38" s="484">
        <f>IF(+I14&lt;F37,I14,D38)</f>
        <v>1963</v>
      </c>
      <c r="F38" s="485">
        <f t="shared" si="17"/>
        <v>46824</v>
      </c>
      <c r="G38" s="486">
        <f t="shared" si="18"/>
        <v>7463.3256351198524</v>
      </c>
      <c r="H38" s="455">
        <f t="shared" si="19"/>
        <v>7463.3256351198524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4"/>
        <v/>
      </c>
      <c r="C39" s="472">
        <f>IF(D11="","-",+C38+1)</f>
        <v>2029</v>
      </c>
      <c r="D39" s="485">
        <f>IF(F38+SUM(E$17:E38)=D$10,F38,D$10-SUM(E$17:E38))</f>
        <v>46824</v>
      </c>
      <c r="E39" s="484">
        <f>IF(+I14&lt;F38,I14,D39)</f>
        <v>1963</v>
      </c>
      <c r="F39" s="485">
        <f t="shared" si="17"/>
        <v>44861</v>
      </c>
      <c r="G39" s="486">
        <f t="shared" si="18"/>
        <v>7237.470049010717</v>
      </c>
      <c r="H39" s="455">
        <f t="shared" si="19"/>
        <v>7237.470049010717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4"/>
        <v/>
      </c>
      <c r="C40" s="472">
        <f>IF(D11="","-",+C39+1)</f>
        <v>2030</v>
      </c>
      <c r="D40" s="485">
        <f>IF(F39+SUM(E$17:E39)=D$10,F39,D$10-SUM(E$17:E39))</f>
        <v>44861</v>
      </c>
      <c r="E40" s="484">
        <f>IF(+I14&lt;F39,I14,D40)</f>
        <v>1963</v>
      </c>
      <c r="F40" s="485">
        <f t="shared" si="17"/>
        <v>42898</v>
      </c>
      <c r="G40" s="486">
        <f t="shared" si="18"/>
        <v>7011.6144629015816</v>
      </c>
      <c r="H40" s="455">
        <f t="shared" si="19"/>
        <v>7011.6144629015816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4"/>
        <v/>
      </c>
      <c r="C41" s="472">
        <f>IF(D11="","-",+C40+1)</f>
        <v>2031</v>
      </c>
      <c r="D41" s="485">
        <f>IF(F40+SUM(E$17:E40)=D$10,F40,D$10-SUM(E$17:E40))</f>
        <v>42898</v>
      </c>
      <c r="E41" s="484">
        <f>IF(+I14&lt;F40,I14,D41)</f>
        <v>1963</v>
      </c>
      <c r="F41" s="485">
        <f t="shared" si="17"/>
        <v>40935</v>
      </c>
      <c r="G41" s="486">
        <f t="shared" si="18"/>
        <v>6785.7588767924462</v>
      </c>
      <c r="H41" s="455">
        <f t="shared" si="19"/>
        <v>6785.7588767924462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4"/>
        <v/>
      </c>
      <c r="C42" s="472">
        <f>IF(D11="","-",+C41+1)</f>
        <v>2032</v>
      </c>
      <c r="D42" s="485">
        <f>IF(F41+SUM(E$17:E41)=D$10,F41,D$10-SUM(E$17:E41))</f>
        <v>40935</v>
      </c>
      <c r="E42" s="484">
        <f>IF(+I14&lt;F41,I14,D42)</f>
        <v>1963</v>
      </c>
      <c r="F42" s="485">
        <f t="shared" si="17"/>
        <v>38972</v>
      </c>
      <c r="G42" s="486">
        <f t="shared" si="18"/>
        <v>6559.9032906833108</v>
      </c>
      <c r="H42" s="455">
        <f t="shared" si="19"/>
        <v>6559.9032906833108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4"/>
        <v/>
      </c>
      <c r="C43" s="472">
        <f>IF(D11="","-",+C42+1)</f>
        <v>2033</v>
      </c>
      <c r="D43" s="485">
        <f>IF(F42+SUM(E$17:E42)=D$10,F42,D$10-SUM(E$17:E42))</f>
        <v>38972</v>
      </c>
      <c r="E43" s="484">
        <f>IF(+I14&lt;F42,I14,D43)</f>
        <v>1963</v>
      </c>
      <c r="F43" s="485">
        <f t="shared" si="17"/>
        <v>37009</v>
      </c>
      <c r="G43" s="486">
        <f t="shared" si="18"/>
        <v>6334.0477045741754</v>
      </c>
      <c r="H43" s="455">
        <f t="shared" si="19"/>
        <v>6334.0477045741754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4"/>
        <v/>
      </c>
      <c r="C44" s="472">
        <f>IF(D11="","-",+C43+1)</f>
        <v>2034</v>
      </c>
      <c r="D44" s="485">
        <f>IF(F43+SUM(E$17:E43)=D$10,F43,D$10-SUM(E$17:E43))</f>
        <v>37009</v>
      </c>
      <c r="E44" s="484">
        <f>IF(+I14&lt;F43,I14,D44)</f>
        <v>1963</v>
      </c>
      <c r="F44" s="485">
        <f t="shared" si="17"/>
        <v>35046</v>
      </c>
      <c r="G44" s="486">
        <f t="shared" si="18"/>
        <v>6108.19211846504</v>
      </c>
      <c r="H44" s="455">
        <f t="shared" si="19"/>
        <v>6108.19211846504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4"/>
        <v/>
      </c>
      <c r="C45" s="472">
        <f>IF(D11="","-",+C44+1)</f>
        <v>2035</v>
      </c>
      <c r="D45" s="485">
        <f>IF(F44+SUM(E$17:E44)=D$10,F44,D$10-SUM(E$17:E44))</f>
        <v>35046</v>
      </c>
      <c r="E45" s="484">
        <f>IF(+I14&lt;F44,I14,D45)</f>
        <v>1963</v>
      </c>
      <c r="F45" s="485">
        <f t="shared" si="17"/>
        <v>33083</v>
      </c>
      <c r="G45" s="486">
        <f t="shared" si="18"/>
        <v>5882.3365323559046</v>
      </c>
      <c r="H45" s="455">
        <f t="shared" si="19"/>
        <v>5882.3365323559046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4"/>
        <v/>
      </c>
      <c r="C46" s="472">
        <f>IF(D11="","-",+C45+1)</f>
        <v>2036</v>
      </c>
      <c r="D46" s="485">
        <f>IF(F45+SUM(E$17:E45)=D$10,F45,D$10-SUM(E$17:E45))</f>
        <v>33083</v>
      </c>
      <c r="E46" s="484">
        <f>IF(+I14&lt;F45,I14,D46)</f>
        <v>1963</v>
      </c>
      <c r="F46" s="485">
        <f t="shared" si="17"/>
        <v>31120</v>
      </c>
      <c r="G46" s="486">
        <f t="shared" si="18"/>
        <v>5656.4809462467692</v>
      </c>
      <c r="H46" s="455">
        <f t="shared" si="19"/>
        <v>5656.4809462467692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4"/>
        <v/>
      </c>
      <c r="C47" s="472">
        <f>IF(D11="","-",+C46+1)</f>
        <v>2037</v>
      </c>
      <c r="D47" s="485">
        <f>IF(F46+SUM(E$17:E46)=D$10,F46,D$10-SUM(E$17:E46))</f>
        <v>31120</v>
      </c>
      <c r="E47" s="484">
        <f>IF(+I14&lt;F46,I14,D47)</f>
        <v>1963</v>
      </c>
      <c r="F47" s="485">
        <f t="shared" si="17"/>
        <v>29157</v>
      </c>
      <c r="G47" s="486">
        <f t="shared" si="18"/>
        <v>5430.6253601376338</v>
      </c>
      <c r="H47" s="455">
        <f t="shared" si="19"/>
        <v>5430.6253601376338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4"/>
        <v/>
      </c>
      <c r="C48" s="472">
        <f>IF(D11="","-",+C47+1)</f>
        <v>2038</v>
      </c>
      <c r="D48" s="485">
        <f>IF(F47+SUM(E$17:E47)=D$10,F47,D$10-SUM(E$17:E47))</f>
        <v>29157</v>
      </c>
      <c r="E48" s="484">
        <f>IF(+I14&lt;F47,I14,D48)</f>
        <v>1963</v>
      </c>
      <c r="F48" s="485">
        <f t="shared" si="17"/>
        <v>27194</v>
      </c>
      <c r="G48" s="486">
        <f t="shared" si="18"/>
        <v>5204.7697740284984</v>
      </c>
      <c r="H48" s="455">
        <f t="shared" si="19"/>
        <v>5204.7697740284984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4"/>
        <v/>
      </c>
      <c r="C49" s="472">
        <f>IF(D11="","-",+C48+1)</f>
        <v>2039</v>
      </c>
      <c r="D49" s="485">
        <f>IF(F48+SUM(E$17:E48)=D$10,F48,D$10-SUM(E$17:E48))</f>
        <v>27194</v>
      </c>
      <c r="E49" s="484">
        <f>IF(+I14&lt;F48,I14,D49)</f>
        <v>1963</v>
      </c>
      <c r="F49" s="485">
        <f t="shared" ref="F49:F72" si="20">+D49-E49</f>
        <v>25231</v>
      </c>
      <c r="G49" s="486">
        <f t="shared" si="18"/>
        <v>4978.914187919363</v>
      </c>
      <c r="H49" s="455">
        <f t="shared" si="19"/>
        <v>4978.914187919363</v>
      </c>
      <c r="I49" s="475">
        <f t="shared" ref="I49:I72" si="21">H49-G49</f>
        <v>0</v>
      </c>
      <c r="J49" s="475"/>
      <c r="K49" s="487"/>
      <c r="L49" s="478">
        <f t="shared" ref="L49:L72" si="22">IF(K49&lt;&gt;0,+G49-K49,0)</f>
        <v>0</v>
      </c>
      <c r="M49" s="487"/>
      <c r="N49" s="478">
        <f t="shared" ref="N49:N72" si="23">IF(M49&lt;&gt;0,+H49-M49,0)</f>
        <v>0</v>
      </c>
      <c r="O49" s="478">
        <f t="shared" ref="O49:O72" si="24">+N49-L49</f>
        <v>0</v>
      </c>
      <c r="P49" s="243"/>
    </row>
    <row r="50" spans="2:16">
      <c r="B50" s="160" t="str">
        <f t="shared" si="4"/>
        <v/>
      </c>
      <c r="C50" s="472">
        <f>IF(D11="","-",+C49+1)</f>
        <v>2040</v>
      </c>
      <c r="D50" s="485">
        <f>IF(F49+SUM(E$17:E49)=D$10,F49,D$10-SUM(E$17:E49))</f>
        <v>25231</v>
      </c>
      <c r="E50" s="484">
        <f>IF(+I14&lt;F49,I14,D50)</f>
        <v>1963</v>
      </c>
      <c r="F50" s="485">
        <f t="shared" si="20"/>
        <v>23268</v>
      </c>
      <c r="G50" s="486">
        <f t="shared" si="18"/>
        <v>4753.0586018102276</v>
      </c>
      <c r="H50" s="455">
        <f t="shared" si="19"/>
        <v>4753.0586018102276</v>
      </c>
      <c r="I50" s="475">
        <f t="shared" si="21"/>
        <v>0</v>
      </c>
      <c r="J50" s="475"/>
      <c r="K50" s="487"/>
      <c r="L50" s="478">
        <f t="shared" si="22"/>
        <v>0</v>
      </c>
      <c r="M50" s="487"/>
      <c r="N50" s="478">
        <f t="shared" si="23"/>
        <v>0</v>
      </c>
      <c r="O50" s="478">
        <f t="shared" si="24"/>
        <v>0</v>
      </c>
      <c r="P50" s="243"/>
    </row>
    <row r="51" spans="2:16">
      <c r="B51" s="160" t="str">
        <f t="shared" si="4"/>
        <v/>
      </c>
      <c r="C51" s="472">
        <f>IF(D11="","-",+C50+1)</f>
        <v>2041</v>
      </c>
      <c r="D51" s="485">
        <f>IF(F50+SUM(E$17:E50)=D$10,F50,D$10-SUM(E$17:E50))</f>
        <v>23268</v>
      </c>
      <c r="E51" s="484">
        <f>IF(+I14&lt;F50,I14,D51)</f>
        <v>1963</v>
      </c>
      <c r="F51" s="485">
        <f t="shared" si="20"/>
        <v>21305</v>
      </c>
      <c r="G51" s="486">
        <f t="shared" si="18"/>
        <v>4527.2030157010922</v>
      </c>
      <c r="H51" s="455">
        <f t="shared" si="19"/>
        <v>4527.2030157010922</v>
      </c>
      <c r="I51" s="475">
        <f t="shared" si="21"/>
        <v>0</v>
      </c>
      <c r="J51" s="475"/>
      <c r="K51" s="487"/>
      <c r="L51" s="478">
        <f t="shared" si="22"/>
        <v>0</v>
      </c>
      <c r="M51" s="487"/>
      <c r="N51" s="478">
        <f t="shared" si="23"/>
        <v>0</v>
      </c>
      <c r="O51" s="478">
        <f t="shared" si="24"/>
        <v>0</v>
      </c>
      <c r="P51" s="243"/>
    </row>
    <row r="52" spans="2:16">
      <c r="B52" s="160" t="str">
        <f t="shared" si="4"/>
        <v/>
      </c>
      <c r="C52" s="472">
        <f>IF(D11="","-",+C51+1)</f>
        <v>2042</v>
      </c>
      <c r="D52" s="485">
        <f>IF(F51+SUM(E$17:E51)=D$10,F51,D$10-SUM(E$17:E51))</f>
        <v>21305</v>
      </c>
      <c r="E52" s="484">
        <f>IF(+I14&lt;F51,I14,D52)</f>
        <v>1963</v>
      </c>
      <c r="F52" s="485">
        <f t="shared" si="20"/>
        <v>19342</v>
      </c>
      <c r="G52" s="486">
        <f t="shared" si="18"/>
        <v>4301.3474295919568</v>
      </c>
      <c r="H52" s="455">
        <f t="shared" si="19"/>
        <v>4301.3474295919568</v>
      </c>
      <c r="I52" s="475">
        <f t="shared" si="21"/>
        <v>0</v>
      </c>
      <c r="J52" s="475"/>
      <c r="K52" s="487"/>
      <c r="L52" s="478">
        <f t="shared" si="22"/>
        <v>0</v>
      </c>
      <c r="M52" s="487"/>
      <c r="N52" s="478">
        <f t="shared" si="23"/>
        <v>0</v>
      </c>
      <c r="O52" s="478">
        <f t="shared" si="24"/>
        <v>0</v>
      </c>
      <c r="P52" s="243"/>
    </row>
    <row r="53" spans="2:16">
      <c r="B53" s="160" t="str">
        <f t="shared" si="4"/>
        <v/>
      </c>
      <c r="C53" s="472">
        <f>IF(D11="","-",+C52+1)</f>
        <v>2043</v>
      </c>
      <c r="D53" s="485">
        <f>IF(F52+SUM(E$17:E52)=D$10,F52,D$10-SUM(E$17:E52))</f>
        <v>19342</v>
      </c>
      <c r="E53" s="484">
        <f>IF(+I14&lt;F52,I14,D53)</f>
        <v>1963</v>
      </c>
      <c r="F53" s="485">
        <f t="shared" si="20"/>
        <v>17379</v>
      </c>
      <c r="G53" s="486">
        <f t="shared" si="18"/>
        <v>4075.4918434828219</v>
      </c>
      <c r="H53" s="455">
        <f t="shared" si="19"/>
        <v>4075.4918434828219</v>
      </c>
      <c r="I53" s="475">
        <f t="shared" si="21"/>
        <v>0</v>
      </c>
      <c r="J53" s="475"/>
      <c r="K53" s="487"/>
      <c r="L53" s="478">
        <f t="shared" si="22"/>
        <v>0</v>
      </c>
      <c r="M53" s="487"/>
      <c r="N53" s="478">
        <f t="shared" si="23"/>
        <v>0</v>
      </c>
      <c r="O53" s="478">
        <f t="shared" si="24"/>
        <v>0</v>
      </c>
      <c r="P53" s="243"/>
    </row>
    <row r="54" spans="2:16">
      <c r="B54" s="160" t="str">
        <f t="shared" si="4"/>
        <v/>
      </c>
      <c r="C54" s="472">
        <f>IF(D11="","-",+C53+1)</f>
        <v>2044</v>
      </c>
      <c r="D54" s="485">
        <f>IF(F53+SUM(E$17:E53)=D$10,F53,D$10-SUM(E$17:E53))</f>
        <v>17379</v>
      </c>
      <c r="E54" s="484">
        <f>IF(+I14&lt;F53,I14,D54)</f>
        <v>1963</v>
      </c>
      <c r="F54" s="485">
        <f t="shared" si="20"/>
        <v>15416</v>
      </c>
      <c r="G54" s="486">
        <f t="shared" si="18"/>
        <v>3849.6362573736869</v>
      </c>
      <c r="H54" s="455">
        <f t="shared" si="19"/>
        <v>3849.6362573736869</v>
      </c>
      <c r="I54" s="475">
        <f t="shared" si="21"/>
        <v>0</v>
      </c>
      <c r="J54" s="475"/>
      <c r="K54" s="487"/>
      <c r="L54" s="478">
        <f t="shared" si="22"/>
        <v>0</v>
      </c>
      <c r="M54" s="487"/>
      <c r="N54" s="478">
        <f t="shared" si="23"/>
        <v>0</v>
      </c>
      <c r="O54" s="478">
        <f t="shared" si="24"/>
        <v>0</v>
      </c>
      <c r="P54" s="243"/>
    </row>
    <row r="55" spans="2:16">
      <c r="B55" s="160" t="str">
        <f t="shared" si="4"/>
        <v/>
      </c>
      <c r="C55" s="472">
        <f>IF(D11="","-",+C54+1)</f>
        <v>2045</v>
      </c>
      <c r="D55" s="485">
        <f>IF(F54+SUM(E$17:E54)=D$10,F54,D$10-SUM(E$17:E54))</f>
        <v>15416</v>
      </c>
      <c r="E55" s="484">
        <f>IF(+I14&lt;F54,I14,D55)</f>
        <v>1963</v>
      </c>
      <c r="F55" s="485">
        <f t="shared" si="20"/>
        <v>13453</v>
      </c>
      <c r="G55" s="486">
        <f t="shared" si="18"/>
        <v>3623.7806712645515</v>
      </c>
      <c r="H55" s="455">
        <f t="shared" si="19"/>
        <v>3623.7806712645515</v>
      </c>
      <c r="I55" s="475">
        <f t="shared" si="21"/>
        <v>0</v>
      </c>
      <c r="J55" s="475"/>
      <c r="K55" s="487"/>
      <c r="L55" s="478">
        <f t="shared" si="22"/>
        <v>0</v>
      </c>
      <c r="M55" s="487"/>
      <c r="N55" s="478">
        <f t="shared" si="23"/>
        <v>0</v>
      </c>
      <c r="O55" s="478">
        <f t="shared" si="24"/>
        <v>0</v>
      </c>
      <c r="P55" s="243"/>
    </row>
    <row r="56" spans="2:16">
      <c r="B56" s="160" t="str">
        <f t="shared" si="4"/>
        <v/>
      </c>
      <c r="C56" s="472">
        <f>IF(D11="","-",+C55+1)</f>
        <v>2046</v>
      </c>
      <c r="D56" s="485">
        <f>IF(F55+SUM(E$17:E55)=D$10,F55,D$10-SUM(E$17:E55))</f>
        <v>13453</v>
      </c>
      <c r="E56" s="484">
        <f>IF(+I14&lt;F55,I14,D56)</f>
        <v>1963</v>
      </c>
      <c r="F56" s="485">
        <f t="shared" si="20"/>
        <v>11490</v>
      </c>
      <c r="G56" s="486">
        <f t="shared" si="18"/>
        <v>3397.9250851554161</v>
      </c>
      <c r="H56" s="455">
        <f t="shared" si="19"/>
        <v>3397.9250851554161</v>
      </c>
      <c r="I56" s="475">
        <f t="shared" si="21"/>
        <v>0</v>
      </c>
      <c r="J56" s="475"/>
      <c r="K56" s="487"/>
      <c r="L56" s="478">
        <f t="shared" si="22"/>
        <v>0</v>
      </c>
      <c r="M56" s="487"/>
      <c r="N56" s="478">
        <f t="shared" si="23"/>
        <v>0</v>
      </c>
      <c r="O56" s="478">
        <f t="shared" si="24"/>
        <v>0</v>
      </c>
      <c r="P56" s="243"/>
    </row>
    <row r="57" spans="2:16">
      <c r="B57" s="160" t="str">
        <f t="shared" si="4"/>
        <v/>
      </c>
      <c r="C57" s="472">
        <f>IF(D11="","-",+C56+1)</f>
        <v>2047</v>
      </c>
      <c r="D57" s="485">
        <f>IF(F56+SUM(E$17:E56)=D$10,F56,D$10-SUM(E$17:E56))</f>
        <v>11490</v>
      </c>
      <c r="E57" s="484">
        <f>IF(+I14&lt;F56,I14,D57)</f>
        <v>1963</v>
      </c>
      <c r="F57" s="485">
        <f t="shared" si="20"/>
        <v>9527</v>
      </c>
      <c r="G57" s="486">
        <f t="shared" si="18"/>
        <v>3172.0694990462807</v>
      </c>
      <c r="H57" s="455">
        <f t="shared" si="19"/>
        <v>3172.0694990462807</v>
      </c>
      <c r="I57" s="475">
        <f t="shared" si="21"/>
        <v>0</v>
      </c>
      <c r="J57" s="475"/>
      <c r="K57" s="487"/>
      <c r="L57" s="478">
        <f t="shared" si="22"/>
        <v>0</v>
      </c>
      <c r="M57" s="487"/>
      <c r="N57" s="478">
        <f t="shared" si="23"/>
        <v>0</v>
      </c>
      <c r="O57" s="478">
        <f t="shared" si="24"/>
        <v>0</v>
      </c>
      <c r="P57" s="243"/>
    </row>
    <row r="58" spans="2:16">
      <c r="B58" s="160" t="str">
        <f t="shared" si="4"/>
        <v/>
      </c>
      <c r="C58" s="472">
        <f>IF(D11="","-",+C57+1)</f>
        <v>2048</v>
      </c>
      <c r="D58" s="485">
        <f>IF(F57+SUM(E$17:E57)=D$10,F57,D$10-SUM(E$17:E57))</f>
        <v>9527</v>
      </c>
      <c r="E58" s="484">
        <f>IF(+I14&lt;F57,I14,D58)</f>
        <v>1963</v>
      </c>
      <c r="F58" s="485">
        <f t="shared" si="20"/>
        <v>7564</v>
      </c>
      <c r="G58" s="486">
        <f t="shared" si="18"/>
        <v>2946.2139129371453</v>
      </c>
      <c r="H58" s="455">
        <f t="shared" si="19"/>
        <v>2946.2139129371453</v>
      </c>
      <c r="I58" s="475">
        <f t="shared" si="21"/>
        <v>0</v>
      </c>
      <c r="J58" s="475"/>
      <c r="K58" s="487"/>
      <c r="L58" s="478">
        <f t="shared" si="22"/>
        <v>0</v>
      </c>
      <c r="M58" s="487"/>
      <c r="N58" s="478">
        <f t="shared" si="23"/>
        <v>0</v>
      </c>
      <c r="O58" s="478">
        <f t="shared" si="24"/>
        <v>0</v>
      </c>
      <c r="P58" s="243"/>
    </row>
    <row r="59" spans="2:16">
      <c r="B59" s="160" t="str">
        <f t="shared" si="4"/>
        <v/>
      </c>
      <c r="C59" s="472">
        <f>IF(D11="","-",+C58+1)</f>
        <v>2049</v>
      </c>
      <c r="D59" s="485">
        <f>IF(F58+SUM(E$17:E58)=D$10,F58,D$10-SUM(E$17:E58))</f>
        <v>7564</v>
      </c>
      <c r="E59" s="484">
        <f>IF(+I14&lt;F58,I14,D59)</f>
        <v>1963</v>
      </c>
      <c r="F59" s="485">
        <f t="shared" si="20"/>
        <v>5601</v>
      </c>
      <c r="G59" s="486">
        <f t="shared" si="18"/>
        <v>2720.3583268280099</v>
      </c>
      <c r="H59" s="455">
        <f t="shared" si="19"/>
        <v>2720.3583268280099</v>
      </c>
      <c r="I59" s="475">
        <f t="shared" si="21"/>
        <v>0</v>
      </c>
      <c r="J59" s="475"/>
      <c r="K59" s="487"/>
      <c r="L59" s="478">
        <f t="shared" si="22"/>
        <v>0</v>
      </c>
      <c r="M59" s="487"/>
      <c r="N59" s="478">
        <f t="shared" si="23"/>
        <v>0</v>
      </c>
      <c r="O59" s="478">
        <f t="shared" si="24"/>
        <v>0</v>
      </c>
      <c r="P59" s="243"/>
    </row>
    <row r="60" spans="2:16">
      <c r="B60" s="160" t="str">
        <f t="shared" si="4"/>
        <v/>
      </c>
      <c r="C60" s="472">
        <f>IF(D11="","-",+C59+1)</f>
        <v>2050</v>
      </c>
      <c r="D60" s="485">
        <f>IF(F59+SUM(E$17:E59)=D$10,F59,D$10-SUM(E$17:E59))</f>
        <v>5601</v>
      </c>
      <c r="E60" s="484">
        <f>IF(+I14&lt;F59,I14,D60)</f>
        <v>1963</v>
      </c>
      <c r="F60" s="485">
        <f t="shared" si="20"/>
        <v>3638</v>
      </c>
      <c r="G60" s="486">
        <f t="shared" si="18"/>
        <v>2494.5027407188745</v>
      </c>
      <c r="H60" s="455">
        <f t="shared" si="19"/>
        <v>2494.5027407188745</v>
      </c>
      <c r="I60" s="475">
        <f t="shared" si="21"/>
        <v>0</v>
      </c>
      <c r="J60" s="475"/>
      <c r="K60" s="487"/>
      <c r="L60" s="478">
        <f t="shared" si="22"/>
        <v>0</v>
      </c>
      <c r="M60" s="487"/>
      <c r="N60" s="478">
        <f t="shared" si="23"/>
        <v>0</v>
      </c>
      <c r="O60" s="478">
        <f t="shared" si="24"/>
        <v>0</v>
      </c>
      <c r="P60" s="243"/>
    </row>
    <row r="61" spans="2:16">
      <c r="B61" s="160" t="str">
        <f t="shared" si="4"/>
        <v/>
      </c>
      <c r="C61" s="472">
        <f>IF(D11="","-",+C60+1)</f>
        <v>2051</v>
      </c>
      <c r="D61" s="485">
        <f>IF(F60+SUM(E$17:E60)=D$10,F60,D$10-SUM(E$17:E60))</f>
        <v>3638</v>
      </c>
      <c r="E61" s="484">
        <f>IF(+I14&lt;F60,I14,D61)</f>
        <v>1963</v>
      </c>
      <c r="F61" s="485">
        <f t="shared" si="20"/>
        <v>1675</v>
      </c>
      <c r="G61" s="486">
        <f t="shared" si="18"/>
        <v>2268.6471546097391</v>
      </c>
      <c r="H61" s="455">
        <f t="shared" si="19"/>
        <v>2268.6471546097391</v>
      </c>
      <c r="I61" s="475">
        <f t="shared" si="21"/>
        <v>0</v>
      </c>
      <c r="J61" s="475"/>
      <c r="K61" s="487"/>
      <c r="L61" s="478">
        <f t="shared" si="22"/>
        <v>0</v>
      </c>
      <c r="M61" s="487"/>
      <c r="N61" s="478">
        <f t="shared" si="23"/>
        <v>0</v>
      </c>
      <c r="O61" s="478">
        <f t="shared" si="24"/>
        <v>0</v>
      </c>
      <c r="P61" s="243"/>
    </row>
    <row r="62" spans="2:16">
      <c r="B62" s="160" t="str">
        <f t="shared" si="4"/>
        <v/>
      </c>
      <c r="C62" s="472">
        <f>IF(D11="","-",+C61+1)</f>
        <v>2052</v>
      </c>
      <c r="D62" s="485">
        <f>IF(F61+SUM(E$17:E61)=D$10,F61,D$10-SUM(E$17:E61))</f>
        <v>1675</v>
      </c>
      <c r="E62" s="484">
        <f>IF(+I14&lt;F61,I14,D62)</f>
        <v>1675</v>
      </c>
      <c r="F62" s="485">
        <f t="shared" si="20"/>
        <v>0</v>
      </c>
      <c r="G62" s="486">
        <f t="shared" si="18"/>
        <v>1771.3596807775857</v>
      </c>
      <c r="H62" s="455">
        <f t="shared" si="19"/>
        <v>1771.3596807775857</v>
      </c>
      <c r="I62" s="475">
        <f t="shared" si="21"/>
        <v>0</v>
      </c>
      <c r="J62" s="475"/>
      <c r="K62" s="487"/>
      <c r="L62" s="478">
        <f t="shared" si="22"/>
        <v>0</v>
      </c>
      <c r="M62" s="487"/>
      <c r="N62" s="478">
        <f t="shared" si="23"/>
        <v>0</v>
      </c>
      <c r="O62" s="478">
        <f t="shared" si="24"/>
        <v>0</v>
      </c>
      <c r="P62" s="243"/>
    </row>
    <row r="63" spans="2:16">
      <c r="B63" s="160" t="str">
        <f t="shared" si="4"/>
        <v/>
      </c>
      <c r="C63" s="472">
        <f>IF(D11="","-",+C62+1)</f>
        <v>2053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6">
        <f t="shared" si="18"/>
        <v>0</v>
      </c>
      <c r="H63" s="455">
        <f t="shared" si="19"/>
        <v>0</v>
      </c>
      <c r="I63" s="475">
        <f t="shared" si="21"/>
        <v>0</v>
      </c>
      <c r="J63" s="475"/>
      <c r="K63" s="487"/>
      <c r="L63" s="478">
        <f t="shared" si="22"/>
        <v>0</v>
      </c>
      <c r="M63" s="487"/>
      <c r="N63" s="478">
        <f t="shared" si="23"/>
        <v>0</v>
      </c>
      <c r="O63" s="478">
        <f t="shared" si="24"/>
        <v>0</v>
      </c>
      <c r="P63" s="243"/>
    </row>
    <row r="64" spans="2:16">
      <c r="B64" s="160" t="str">
        <f t="shared" si="4"/>
        <v/>
      </c>
      <c r="C64" s="472">
        <f>IF(D11="","-",+C63+1)</f>
        <v>2054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6">
        <f t="shared" si="18"/>
        <v>0</v>
      </c>
      <c r="H64" s="455">
        <f t="shared" si="19"/>
        <v>0</v>
      </c>
      <c r="I64" s="475">
        <f t="shared" si="21"/>
        <v>0</v>
      </c>
      <c r="J64" s="475"/>
      <c r="K64" s="487"/>
      <c r="L64" s="478">
        <f t="shared" si="22"/>
        <v>0</v>
      </c>
      <c r="M64" s="487"/>
      <c r="N64" s="478">
        <f t="shared" si="23"/>
        <v>0</v>
      </c>
      <c r="O64" s="478">
        <f t="shared" si="24"/>
        <v>0</v>
      </c>
      <c r="P64" s="243"/>
    </row>
    <row r="65" spans="2:16">
      <c r="B65" s="160" t="str">
        <f t="shared" si="4"/>
        <v/>
      </c>
      <c r="C65" s="472">
        <f>IF(D11="","-",+C64+1)</f>
        <v>2055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6">
        <f t="shared" si="18"/>
        <v>0</v>
      </c>
      <c r="H65" s="455">
        <f t="shared" si="19"/>
        <v>0</v>
      </c>
      <c r="I65" s="475">
        <f t="shared" si="21"/>
        <v>0</v>
      </c>
      <c r="J65" s="475"/>
      <c r="K65" s="487"/>
      <c r="L65" s="478">
        <f t="shared" si="22"/>
        <v>0</v>
      </c>
      <c r="M65" s="487"/>
      <c r="N65" s="478">
        <f t="shared" si="23"/>
        <v>0</v>
      </c>
      <c r="O65" s="478">
        <f t="shared" si="24"/>
        <v>0</v>
      </c>
      <c r="P65" s="243"/>
    </row>
    <row r="66" spans="2:16">
      <c r="B66" s="160" t="str">
        <f t="shared" si="4"/>
        <v/>
      </c>
      <c r="C66" s="472">
        <f>IF(D11="","-",+C65+1)</f>
        <v>2056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6">
        <f t="shared" si="18"/>
        <v>0</v>
      </c>
      <c r="H66" s="455">
        <f t="shared" si="19"/>
        <v>0</v>
      </c>
      <c r="I66" s="475">
        <f t="shared" si="21"/>
        <v>0</v>
      </c>
      <c r="J66" s="475"/>
      <c r="K66" s="487"/>
      <c r="L66" s="478">
        <f t="shared" si="22"/>
        <v>0</v>
      </c>
      <c r="M66" s="487"/>
      <c r="N66" s="478">
        <f t="shared" si="23"/>
        <v>0</v>
      </c>
      <c r="O66" s="478">
        <f t="shared" si="24"/>
        <v>0</v>
      </c>
      <c r="P66" s="243"/>
    </row>
    <row r="67" spans="2:16">
      <c r="B67" s="160" t="str">
        <f t="shared" si="4"/>
        <v/>
      </c>
      <c r="C67" s="472">
        <f>IF(D11="","-",+C66+1)</f>
        <v>2057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6">
        <f t="shared" si="18"/>
        <v>0</v>
      </c>
      <c r="H67" s="455">
        <f t="shared" si="19"/>
        <v>0</v>
      </c>
      <c r="I67" s="475">
        <f t="shared" si="21"/>
        <v>0</v>
      </c>
      <c r="J67" s="475"/>
      <c r="K67" s="487"/>
      <c r="L67" s="478">
        <f t="shared" si="22"/>
        <v>0</v>
      </c>
      <c r="M67" s="487"/>
      <c r="N67" s="478">
        <f t="shared" si="23"/>
        <v>0</v>
      </c>
      <c r="O67" s="478">
        <f t="shared" si="24"/>
        <v>0</v>
      </c>
      <c r="P67" s="243"/>
    </row>
    <row r="68" spans="2:16">
      <c r="B68" s="160" t="str">
        <f t="shared" si="4"/>
        <v/>
      </c>
      <c r="C68" s="472">
        <f>IF(D11="","-",+C67+1)</f>
        <v>2058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6">
        <f t="shared" si="18"/>
        <v>0</v>
      </c>
      <c r="H68" s="455">
        <f t="shared" si="19"/>
        <v>0</v>
      </c>
      <c r="I68" s="475">
        <f t="shared" si="21"/>
        <v>0</v>
      </c>
      <c r="J68" s="475"/>
      <c r="K68" s="487"/>
      <c r="L68" s="478">
        <f t="shared" si="22"/>
        <v>0</v>
      </c>
      <c r="M68" s="487"/>
      <c r="N68" s="478">
        <f t="shared" si="23"/>
        <v>0</v>
      </c>
      <c r="O68" s="478">
        <f t="shared" si="24"/>
        <v>0</v>
      </c>
      <c r="P68" s="243"/>
    </row>
    <row r="69" spans="2:16">
      <c r="B69" s="160" t="str">
        <f t="shared" si="4"/>
        <v/>
      </c>
      <c r="C69" s="472">
        <f>IF(D11="","-",+C68+1)</f>
        <v>2059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6">
        <f t="shared" si="18"/>
        <v>0</v>
      </c>
      <c r="H69" s="455">
        <f t="shared" si="19"/>
        <v>0</v>
      </c>
      <c r="I69" s="475">
        <f t="shared" si="21"/>
        <v>0</v>
      </c>
      <c r="J69" s="475"/>
      <c r="K69" s="487"/>
      <c r="L69" s="478">
        <f t="shared" si="22"/>
        <v>0</v>
      </c>
      <c r="M69" s="487"/>
      <c r="N69" s="478">
        <f t="shared" si="23"/>
        <v>0</v>
      </c>
      <c r="O69" s="478">
        <f t="shared" si="24"/>
        <v>0</v>
      </c>
      <c r="P69" s="243"/>
    </row>
    <row r="70" spans="2:16">
      <c r="B70" s="160" t="str">
        <f t="shared" si="4"/>
        <v/>
      </c>
      <c r="C70" s="472">
        <f>IF(D11="","-",+C69+1)</f>
        <v>2060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6">
        <f t="shared" si="18"/>
        <v>0</v>
      </c>
      <c r="H70" s="455">
        <f t="shared" si="19"/>
        <v>0</v>
      </c>
      <c r="I70" s="475">
        <f t="shared" si="21"/>
        <v>0</v>
      </c>
      <c r="J70" s="475"/>
      <c r="K70" s="487"/>
      <c r="L70" s="478">
        <f t="shared" si="22"/>
        <v>0</v>
      </c>
      <c r="M70" s="487"/>
      <c r="N70" s="478">
        <f t="shared" si="23"/>
        <v>0</v>
      </c>
      <c r="O70" s="478">
        <f t="shared" si="24"/>
        <v>0</v>
      </c>
      <c r="P70" s="243"/>
    </row>
    <row r="71" spans="2:16">
      <c r="B71" s="160" t="str">
        <f t="shared" si="4"/>
        <v/>
      </c>
      <c r="C71" s="472">
        <f>IF(D11="","-",+C70+1)</f>
        <v>2061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6">
        <f t="shared" si="18"/>
        <v>0</v>
      </c>
      <c r="H71" s="455">
        <f t="shared" si="19"/>
        <v>0</v>
      </c>
      <c r="I71" s="475">
        <f t="shared" si="21"/>
        <v>0</v>
      </c>
      <c r="J71" s="475"/>
      <c r="K71" s="487"/>
      <c r="L71" s="478">
        <f t="shared" si="22"/>
        <v>0</v>
      </c>
      <c r="M71" s="487"/>
      <c r="N71" s="478">
        <f t="shared" si="23"/>
        <v>0</v>
      </c>
      <c r="O71" s="478">
        <f t="shared" si="24"/>
        <v>0</v>
      </c>
      <c r="P71" s="243"/>
    </row>
    <row r="72" spans="2:16" ht="13.5" thickBot="1">
      <c r="B72" s="160" t="str">
        <f t="shared" si="4"/>
        <v/>
      </c>
      <c r="C72" s="489">
        <f>IF(D11="","-",+C71+1)</f>
        <v>2062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0">
        <f t="shared" ref="G72" si="25">(D72+F72)/2*I$12+E72</f>
        <v>0</v>
      </c>
      <c r="H72" s="490">
        <f t="shared" ref="H72" si="26">+(D72+F72)/2*I$13+E72</f>
        <v>0</v>
      </c>
      <c r="I72" s="493">
        <f t="shared" si="21"/>
        <v>0</v>
      </c>
      <c r="J72" s="475"/>
      <c r="K72" s="494"/>
      <c r="L72" s="495">
        <f t="shared" si="22"/>
        <v>0</v>
      </c>
      <c r="M72" s="494"/>
      <c r="N72" s="495">
        <f t="shared" si="23"/>
        <v>0</v>
      </c>
      <c r="O72" s="495">
        <f t="shared" si="24"/>
        <v>0</v>
      </c>
      <c r="P72" s="243"/>
    </row>
    <row r="73" spans="2:16">
      <c r="C73" s="347" t="s">
        <v>77</v>
      </c>
      <c r="D73" s="348"/>
      <c r="E73" s="348">
        <f>SUM(E17:E72)</f>
        <v>84424</v>
      </c>
      <c r="F73" s="348"/>
      <c r="G73" s="348">
        <f>SUM(G17:G72)</f>
        <v>303045.19741087762</v>
      </c>
      <c r="H73" s="348">
        <f>SUM(H17:H72)</f>
        <v>303045.19741087762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7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8467.8802590192263</v>
      </c>
      <c r="N87" s="508">
        <f>IF(J92&lt;D11,0,VLOOKUP(J92,C17:O72,11))</f>
        <v>8467.8802590192263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8984.8276586704978</v>
      </c>
      <c r="N88" s="512">
        <f>IF(J92&lt;D11,0,VLOOKUP(J92,C99:P154,7))</f>
        <v>8984.8276586704978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Elk City - Elk City 69 kV line (CT Upgrades)*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516.94739965127155</v>
      </c>
      <c r="N89" s="517">
        <f>+N88-N87</f>
        <v>516.94739965127155</v>
      </c>
      <c r="O89" s="518">
        <f>+O88-O87</f>
        <v>0</v>
      </c>
      <c r="P89" s="233"/>
    </row>
    <row r="90" spans="1:16" ht="13.5" thickBot="1">
      <c r="C90" s="496"/>
      <c r="D90" s="519" t="str">
        <f>D8</f>
        <v>DOES NOT MEET SPP $100,000 MINIMUM INVESTMENT FOR REGIONAL BPU SHARING.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TP2007015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84424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12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2059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2007</v>
      </c>
      <c r="D99" s="473">
        <v>0</v>
      </c>
      <c r="E99" s="480">
        <v>0</v>
      </c>
      <c r="F99" s="479">
        <v>84424</v>
      </c>
      <c r="G99" s="537">
        <v>42212</v>
      </c>
      <c r="H99" s="538">
        <v>0</v>
      </c>
      <c r="I99" s="539">
        <v>0</v>
      </c>
      <c r="J99" s="478">
        <f t="shared" ref="J99:J130" si="27">+I99-H99</f>
        <v>0</v>
      </c>
      <c r="K99" s="478"/>
      <c r="L99" s="554">
        <v>0</v>
      </c>
      <c r="M99" s="477">
        <f t="shared" ref="M99:M130" si="28">IF(L99&lt;&gt;0,+H99-L99,0)</f>
        <v>0</v>
      </c>
      <c r="N99" s="554">
        <v>0</v>
      </c>
      <c r="O99" s="477">
        <f t="shared" ref="O99:O130" si="29">IF(N99&lt;&gt;0,+I99-N99,0)</f>
        <v>0</v>
      </c>
      <c r="P99" s="477">
        <f t="shared" ref="P99:P130" si="30">+O99-M99</f>
        <v>0</v>
      </c>
    </row>
    <row r="100" spans="1:16">
      <c r="B100" s="160" t="str">
        <f>IF(D100=F99,"","IU")</f>
        <v/>
      </c>
      <c r="C100" s="472">
        <f>IF(D93="","-",+C99+1)</f>
        <v>2008</v>
      </c>
      <c r="D100" s="473">
        <v>84424</v>
      </c>
      <c r="E100" s="480">
        <v>1593</v>
      </c>
      <c r="F100" s="479">
        <v>82831</v>
      </c>
      <c r="G100" s="479">
        <v>83628</v>
      </c>
      <c r="H100" s="480">
        <v>14877</v>
      </c>
      <c r="I100" s="481">
        <v>14877</v>
      </c>
      <c r="J100" s="478">
        <f t="shared" si="27"/>
        <v>0</v>
      </c>
      <c r="K100" s="478"/>
      <c r="L100" s="476">
        <v>14877</v>
      </c>
      <c r="M100" s="478">
        <f t="shared" si="28"/>
        <v>0</v>
      </c>
      <c r="N100" s="476">
        <v>14877</v>
      </c>
      <c r="O100" s="478">
        <f t="shared" si="29"/>
        <v>0</v>
      </c>
      <c r="P100" s="478">
        <f t="shared" si="30"/>
        <v>0</v>
      </c>
    </row>
    <row r="101" spans="1:16">
      <c r="B101" s="160" t="str">
        <f t="shared" ref="B101:B154" si="31">IF(D101=F100,"","IU")</f>
        <v/>
      </c>
      <c r="C101" s="472">
        <f>IF(D93="","-",+C100+1)</f>
        <v>2009</v>
      </c>
      <c r="D101" s="473">
        <v>82831</v>
      </c>
      <c r="E101" s="480">
        <v>1508</v>
      </c>
      <c r="F101" s="479">
        <v>81323</v>
      </c>
      <c r="G101" s="479">
        <v>82077</v>
      </c>
      <c r="H101" s="480">
        <v>13508.337143636172</v>
      </c>
      <c r="I101" s="481">
        <v>13508.337143636172</v>
      </c>
      <c r="J101" s="478">
        <f t="shared" si="27"/>
        <v>0</v>
      </c>
      <c r="K101" s="478"/>
      <c r="L101" s="540">
        <f t="shared" ref="L101:L106" si="32">H101</f>
        <v>13508.337143636172</v>
      </c>
      <c r="M101" s="541">
        <f t="shared" si="28"/>
        <v>0</v>
      </c>
      <c r="N101" s="540">
        <f t="shared" ref="N101:N106" si="33">I101</f>
        <v>13508.337143636172</v>
      </c>
      <c r="O101" s="478">
        <f t="shared" si="29"/>
        <v>0</v>
      </c>
      <c r="P101" s="478">
        <f t="shared" si="30"/>
        <v>0</v>
      </c>
    </row>
    <row r="102" spans="1:16">
      <c r="B102" s="160" t="str">
        <f t="shared" si="31"/>
        <v/>
      </c>
      <c r="C102" s="472">
        <f>IF(D93="","-",+C101+1)</f>
        <v>2010</v>
      </c>
      <c r="D102" s="473">
        <v>81323</v>
      </c>
      <c r="E102" s="480">
        <v>1655</v>
      </c>
      <c r="F102" s="479">
        <v>79668</v>
      </c>
      <c r="G102" s="479">
        <v>80495.5</v>
      </c>
      <c r="H102" s="480">
        <v>14599.901682354179</v>
      </c>
      <c r="I102" s="481">
        <v>14599.901682354179</v>
      </c>
      <c r="J102" s="478">
        <f t="shared" si="27"/>
        <v>0</v>
      </c>
      <c r="K102" s="478"/>
      <c r="L102" s="540">
        <f t="shared" si="32"/>
        <v>14599.901682354179</v>
      </c>
      <c r="M102" s="541">
        <f t="shared" si="28"/>
        <v>0</v>
      </c>
      <c r="N102" s="540">
        <f t="shared" si="33"/>
        <v>14599.901682354179</v>
      </c>
      <c r="O102" s="478">
        <f t="shared" si="29"/>
        <v>0</v>
      </c>
      <c r="P102" s="478">
        <f t="shared" si="30"/>
        <v>0</v>
      </c>
    </row>
    <row r="103" spans="1:16">
      <c r="B103" s="160" t="str">
        <f t="shared" si="31"/>
        <v/>
      </c>
      <c r="C103" s="472">
        <f>IF(D93="","-",+C102+1)</f>
        <v>2011</v>
      </c>
      <c r="D103" s="473">
        <v>79668</v>
      </c>
      <c r="E103" s="480">
        <v>1624</v>
      </c>
      <c r="F103" s="479">
        <v>78044</v>
      </c>
      <c r="G103" s="479">
        <v>78856</v>
      </c>
      <c r="H103" s="480">
        <v>12649.128461660426</v>
      </c>
      <c r="I103" s="481">
        <v>12649.128461660426</v>
      </c>
      <c r="J103" s="478">
        <f t="shared" si="27"/>
        <v>0</v>
      </c>
      <c r="K103" s="478"/>
      <c r="L103" s="540">
        <f t="shared" si="32"/>
        <v>12649.128461660426</v>
      </c>
      <c r="M103" s="541">
        <f t="shared" si="28"/>
        <v>0</v>
      </c>
      <c r="N103" s="540">
        <f t="shared" si="33"/>
        <v>12649.128461660426</v>
      </c>
      <c r="O103" s="478">
        <f t="shared" si="29"/>
        <v>0</v>
      </c>
      <c r="P103" s="478">
        <f t="shared" si="30"/>
        <v>0</v>
      </c>
    </row>
    <row r="104" spans="1:16">
      <c r="B104" s="160" t="str">
        <f t="shared" si="31"/>
        <v/>
      </c>
      <c r="C104" s="472">
        <f>IF(D93="","-",+C103+1)</f>
        <v>2012</v>
      </c>
      <c r="D104" s="473">
        <v>78044</v>
      </c>
      <c r="E104" s="480">
        <v>1624</v>
      </c>
      <c r="F104" s="479">
        <v>76420</v>
      </c>
      <c r="G104" s="479">
        <v>77232</v>
      </c>
      <c r="H104" s="480">
        <v>12734.246570183563</v>
      </c>
      <c r="I104" s="481">
        <v>12734.246570183563</v>
      </c>
      <c r="J104" s="478">
        <v>0</v>
      </c>
      <c r="K104" s="478"/>
      <c r="L104" s="540">
        <f t="shared" si="32"/>
        <v>12734.246570183563</v>
      </c>
      <c r="M104" s="541">
        <f t="shared" ref="M104:M109" si="34">IF(L104&lt;&gt;0,+H104-L104,0)</f>
        <v>0</v>
      </c>
      <c r="N104" s="540">
        <f t="shared" si="33"/>
        <v>12734.246570183563</v>
      </c>
      <c r="O104" s="478">
        <f t="shared" ref="O104:O109" si="35">IF(N104&lt;&gt;0,+I104-N104,0)</f>
        <v>0</v>
      </c>
      <c r="P104" s="478">
        <f t="shared" ref="P104:P109" si="36">+O104-M104</f>
        <v>0</v>
      </c>
    </row>
    <row r="105" spans="1:16">
      <c r="B105" s="160" t="str">
        <f t="shared" si="31"/>
        <v/>
      </c>
      <c r="C105" s="472">
        <f>IF(D93="","-",+C104+1)</f>
        <v>2013</v>
      </c>
      <c r="D105" s="473">
        <v>76420</v>
      </c>
      <c r="E105" s="480">
        <v>1624</v>
      </c>
      <c r="F105" s="479">
        <v>74796</v>
      </c>
      <c r="G105" s="479">
        <v>75608</v>
      </c>
      <c r="H105" s="480">
        <v>12506.984818583547</v>
      </c>
      <c r="I105" s="481">
        <v>12506.984818583547</v>
      </c>
      <c r="J105" s="478">
        <v>0</v>
      </c>
      <c r="K105" s="478"/>
      <c r="L105" s="540">
        <f t="shared" si="32"/>
        <v>12506.984818583547</v>
      </c>
      <c r="M105" s="541">
        <f t="shared" si="34"/>
        <v>0</v>
      </c>
      <c r="N105" s="540">
        <f t="shared" si="33"/>
        <v>12506.984818583547</v>
      </c>
      <c r="O105" s="478">
        <f t="shared" si="35"/>
        <v>0</v>
      </c>
      <c r="P105" s="478">
        <f t="shared" si="36"/>
        <v>0</v>
      </c>
    </row>
    <row r="106" spans="1:16">
      <c r="B106" s="160" t="str">
        <f t="shared" si="31"/>
        <v/>
      </c>
      <c r="C106" s="472">
        <f>IF(D93="","-",+C105+1)</f>
        <v>2014</v>
      </c>
      <c r="D106" s="473">
        <v>74796</v>
      </c>
      <c r="E106" s="480">
        <v>1624</v>
      </c>
      <c r="F106" s="479">
        <v>73172</v>
      </c>
      <c r="G106" s="479">
        <v>73984</v>
      </c>
      <c r="H106" s="480">
        <v>12025.847971361507</v>
      </c>
      <c r="I106" s="481">
        <v>12025.847971361507</v>
      </c>
      <c r="J106" s="478">
        <v>0</v>
      </c>
      <c r="K106" s="478"/>
      <c r="L106" s="540">
        <f t="shared" si="32"/>
        <v>12025.847971361507</v>
      </c>
      <c r="M106" s="541">
        <f t="shared" si="34"/>
        <v>0</v>
      </c>
      <c r="N106" s="540">
        <f t="shared" si="33"/>
        <v>12025.847971361507</v>
      </c>
      <c r="O106" s="478">
        <f t="shared" si="35"/>
        <v>0</v>
      </c>
      <c r="P106" s="478">
        <f t="shared" si="36"/>
        <v>0</v>
      </c>
    </row>
    <row r="107" spans="1:16">
      <c r="B107" s="160" t="str">
        <f t="shared" si="31"/>
        <v/>
      </c>
      <c r="C107" s="472">
        <f>IF(D93="","-",+C106+1)</f>
        <v>2015</v>
      </c>
      <c r="D107" s="473">
        <v>73172</v>
      </c>
      <c r="E107" s="480">
        <v>1624</v>
      </c>
      <c r="F107" s="479">
        <v>71548</v>
      </c>
      <c r="G107" s="479">
        <v>72360</v>
      </c>
      <c r="H107" s="480">
        <v>11496.940196929139</v>
      </c>
      <c r="I107" s="481">
        <v>11496.940196929139</v>
      </c>
      <c r="J107" s="478">
        <f t="shared" si="27"/>
        <v>0</v>
      </c>
      <c r="K107" s="478"/>
      <c r="L107" s="540">
        <f t="shared" ref="L107:L112" si="37">H107</f>
        <v>11496.940196929139</v>
      </c>
      <c r="M107" s="541">
        <f t="shared" si="34"/>
        <v>0</v>
      </c>
      <c r="N107" s="540">
        <f t="shared" ref="N107:N112" si="38">I107</f>
        <v>11496.940196929139</v>
      </c>
      <c r="O107" s="478">
        <f t="shared" si="35"/>
        <v>0</v>
      </c>
      <c r="P107" s="478">
        <f t="shared" si="36"/>
        <v>0</v>
      </c>
    </row>
    <row r="108" spans="1:16">
      <c r="B108" s="160" t="str">
        <f t="shared" si="31"/>
        <v/>
      </c>
      <c r="C108" s="472">
        <f>IF(D93="","-",+C107+1)</f>
        <v>2016</v>
      </c>
      <c r="D108" s="473">
        <v>71548</v>
      </c>
      <c r="E108" s="480">
        <v>1835</v>
      </c>
      <c r="F108" s="479">
        <v>69713</v>
      </c>
      <c r="G108" s="479">
        <v>70630.5</v>
      </c>
      <c r="H108" s="480">
        <v>10940.383800869789</v>
      </c>
      <c r="I108" s="481">
        <v>10940.383800869789</v>
      </c>
      <c r="J108" s="478">
        <f t="shared" si="27"/>
        <v>0</v>
      </c>
      <c r="K108" s="478"/>
      <c r="L108" s="540">
        <f t="shared" si="37"/>
        <v>10940.383800869789</v>
      </c>
      <c r="M108" s="541">
        <f t="shared" si="34"/>
        <v>0</v>
      </c>
      <c r="N108" s="540">
        <f t="shared" si="38"/>
        <v>10940.383800869789</v>
      </c>
      <c r="O108" s="478">
        <f t="shared" si="35"/>
        <v>0</v>
      </c>
      <c r="P108" s="478">
        <f t="shared" si="36"/>
        <v>0</v>
      </c>
    </row>
    <row r="109" spans="1:16">
      <c r="B109" s="160" t="str">
        <f t="shared" si="31"/>
        <v/>
      </c>
      <c r="C109" s="472">
        <f>IF(D93="","-",+C108+1)</f>
        <v>2017</v>
      </c>
      <c r="D109" s="473">
        <v>69713</v>
      </c>
      <c r="E109" s="480">
        <v>1835</v>
      </c>
      <c r="F109" s="479">
        <v>67878</v>
      </c>
      <c r="G109" s="479">
        <v>68795.5</v>
      </c>
      <c r="H109" s="480">
        <v>10561.882642914878</v>
      </c>
      <c r="I109" s="481">
        <v>10561.882642914878</v>
      </c>
      <c r="J109" s="478">
        <f t="shared" si="27"/>
        <v>0</v>
      </c>
      <c r="K109" s="478"/>
      <c r="L109" s="540">
        <f t="shared" si="37"/>
        <v>10561.882642914878</v>
      </c>
      <c r="M109" s="541">
        <f t="shared" si="34"/>
        <v>0</v>
      </c>
      <c r="N109" s="540">
        <f t="shared" si="38"/>
        <v>10561.882642914878</v>
      </c>
      <c r="O109" s="478">
        <f t="shared" si="35"/>
        <v>0</v>
      </c>
      <c r="P109" s="478">
        <f t="shared" si="36"/>
        <v>0</v>
      </c>
    </row>
    <row r="110" spans="1:16">
      <c r="B110" s="160" t="str">
        <f t="shared" si="31"/>
        <v/>
      </c>
      <c r="C110" s="472">
        <f>IF(D93="","-",+C109+1)</f>
        <v>2018</v>
      </c>
      <c r="D110" s="473">
        <v>67878</v>
      </c>
      <c r="E110" s="480">
        <v>1963</v>
      </c>
      <c r="F110" s="479">
        <v>65915</v>
      </c>
      <c r="G110" s="479">
        <v>66896.5</v>
      </c>
      <c r="H110" s="480">
        <v>8835.6498462369182</v>
      </c>
      <c r="I110" s="481">
        <v>8835.6498462369182</v>
      </c>
      <c r="J110" s="478">
        <f t="shared" si="27"/>
        <v>0</v>
      </c>
      <c r="K110" s="478"/>
      <c r="L110" s="540">
        <f t="shared" si="37"/>
        <v>8835.6498462369182</v>
      </c>
      <c r="M110" s="541">
        <f t="shared" ref="M110" si="39">IF(L110&lt;&gt;0,+H110-L110,0)</f>
        <v>0</v>
      </c>
      <c r="N110" s="540">
        <f t="shared" si="38"/>
        <v>8835.6498462369182</v>
      </c>
      <c r="O110" s="478">
        <f t="shared" ref="O110" si="40">IF(N110&lt;&gt;0,+I110-N110,0)</f>
        <v>0</v>
      </c>
      <c r="P110" s="478">
        <f t="shared" ref="P110" si="41">+O110-M110</f>
        <v>0</v>
      </c>
    </row>
    <row r="111" spans="1:16">
      <c r="B111" s="160" t="str">
        <f t="shared" si="31"/>
        <v/>
      </c>
      <c r="C111" s="472">
        <f>IF(D93="","-",+C110+1)</f>
        <v>2019</v>
      </c>
      <c r="D111" s="473">
        <v>65915</v>
      </c>
      <c r="E111" s="480">
        <v>2059</v>
      </c>
      <c r="F111" s="479">
        <v>63856</v>
      </c>
      <c r="G111" s="479">
        <v>64885.5</v>
      </c>
      <c r="H111" s="480">
        <v>8749.6051392547379</v>
      </c>
      <c r="I111" s="481">
        <v>8749.6051392547379</v>
      </c>
      <c r="J111" s="478">
        <f t="shared" si="27"/>
        <v>0</v>
      </c>
      <c r="K111" s="478"/>
      <c r="L111" s="540">
        <f t="shared" si="37"/>
        <v>8749.6051392547379</v>
      </c>
      <c r="M111" s="541">
        <f t="shared" ref="M111" si="42">IF(L111&lt;&gt;0,+H111-L111,0)</f>
        <v>0</v>
      </c>
      <c r="N111" s="540">
        <f t="shared" si="38"/>
        <v>8749.6051392547379</v>
      </c>
      <c r="O111" s="478">
        <f t="shared" si="29"/>
        <v>0</v>
      </c>
      <c r="P111" s="478">
        <f t="shared" si="30"/>
        <v>0</v>
      </c>
    </row>
    <row r="112" spans="1:16">
      <c r="B112" s="160" t="str">
        <f t="shared" si="31"/>
        <v/>
      </c>
      <c r="C112" s="472">
        <f>IF(D93="","-",+C111+1)</f>
        <v>2020</v>
      </c>
      <c r="D112" s="473">
        <v>63856</v>
      </c>
      <c r="E112" s="480">
        <v>1963</v>
      </c>
      <c r="F112" s="479">
        <v>61893</v>
      </c>
      <c r="G112" s="479">
        <v>62874.5</v>
      </c>
      <c r="H112" s="480">
        <v>9212.2569908153564</v>
      </c>
      <c r="I112" s="481">
        <v>9212.2569908153564</v>
      </c>
      <c r="J112" s="478">
        <f t="shared" si="27"/>
        <v>0</v>
      </c>
      <c r="K112" s="478"/>
      <c r="L112" s="540">
        <f t="shared" si="37"/>
        <v>9212.2569908153564</v>
      </c>
      <c r="M112" s="541">
        <f t="shared" ref="M112" si="43">IF(L112&lt;&gt;0,+H112-L112,0)</f>
        <v>0</v>
      </c>
      <c r="N112" s="540">
        <f t="shared" si="38"/>
        <v>9212.2569908153564</v>
      </c>
      <c r="O112" s="478">
        <f t="shared" si="29"/>
        <v>0</v>
      </c>
      <c r="P112" s="478">
        <f t="shared" si="30"/>
        <v>0</v>
      </c>
    </row>
    <row r="113" spans="2:16">
      <c r="B113" s="160" t="str">
        <f t="shared" si="31"/>
        <v/>
      </c>
      <c r="C113" s="472">
        <f>IF(D93="","-",+C112+1)</f>
        <v>2021</v>
      </c>
      <c r="D113" s="347">
        <f>IF(F112+SUM(E$99:E112)=D$92,F112,D$92-SUM(E$99:E112))</f>
        <v>61893</v>
      </c>
      <c r="E113" s="486">
        <f>IF(+J96&lt;F112,J96,D113)</f>
        <v>2059</v>
      </c>
      <c r="F113" s="485">
        <f t="shared" ref="F113:F129" si="44">+D113-E113</f>
        <v>59834</v>
      </c>
      <c r="G113" s="485">
        <f t="shared" ref="G113:G129" si="45">+(F113+D113)/2</f>
        <v>60863.5</v>
      </c>
      <c r="H113" s="486">
        <f t="shared" ref="H113:H153" si="46">(D113+F113)/2*J$94+E113</f>
        <v>8984.8276586704978</v>
      </c>
      <c r="I113" s="542">
        <f t="shared" ref="I113:I153" si="47">+J$95*G113+E113</f>
        <v>8984.8276586704978</v>
      </c>
      <c r="J113" s="478">
        <f t="shared" si="27"/>
        <v>0</v>
      </c>
      <c r="K113" s="478"/>
      <c r="L113" s="487"/>
      <c r="M113" s="478">
        <f t="shared" si="28"/>
        <v>0</v>
      </c>
      <c r="N113" s="487"/>
      <c r="O113" s="478">
        <f t="shared" si="29"/>
        <v>0</v>
      </c>
      <c r="P113" s="478">
        <f t="shared" si="30"/>
        <v>0</v>
      </c>
    </row>
    <row r="114" spans="2:16">
      <c r="B114" s="160" t="str">
        <f t="shared" si="31"/>
        <v/>
      </c>
      <c r="C114" s="472">
        <f>IF(D93="","-",+C113+1)</f>
        <v>2022</v>
      </c>
      <c r="D114" s="347">
        <f>IF(F113+SUM(E$99:E113)=D$92,F113,D$92-SUM(E$99:E113))</f>
        <v>59834</v>
      </c>
      <c r="E114" s="486">
        <f>IF(+J96&lt;F113,J96,D114)</f>
        <v>2059</v>
      </c>
      <c r="F114" s="485">
        <f t="shared" si="44"/>
        <v>57775</v>
      </c>
      <c r="G114" s="485">
        <f t="shared" si="45"/>
        <v>58804.5</v>
      </c>
      <c r="H114" s="486">
        <f t="shared" si="46"/>
        <v>8750.5282978187133</v>
      </c>
      <c r="I114" s="542">
        <f t="shared" si="47"/>
        <v>8750.5282978187133</v>
      </c>
      <c r="J114" s="478">
        <f t="shared" si="27"/>
        <v>0</v>
      </c>
      <c r="K114" s="478"/>
      <c r="L114" s="487"/>
      <c r="M114" s="478">
        <f t="shared" si="28"/>
        <v>0</v>
      </c>
      <c r="N114" s="487"/>
      <c r="O114" s="478">
        <f t="shared" si="29"/>
        <v>0</v>
      </c>
      <c r="P114" s="478">
        <f t="shared" si="30"/>
        <v>0</v>
      </c>
    </row>
    <row r="115" spans="2:16">
      <c r="B115" s="160" t="str">
        <f t="shared" si="31"/>
        <v/>
      </c>
      <c r="C115" s="472">
        <f>IF(D93="","-",+C114+1)</f>
        <v>2023</v>
      </c>
      <c r="D115" s="347">
        <f>IF(F114+SUM(E$99:E114)=D$92,F114,D$92-SUM(E$99:E114))</f>
        <v>57775</v>
      </c>
      <c r="E115" s="486">
        <f>IF(+J96&lt;F114,J96,D115)</f>
        <v>2059</v>
      </c>
      <c r="F115" s="485">
        <f t="shared" si="44"/>
        <v>55716</v>
      </c>
      <c r="G115" s="485">
        <f t="shared" si="45"/>
        <v>56745.5</v>
      </c>
      <c r="H115" s="486">
        <f t="shared" si="46"/>
        <v>8516.2289369669306</v>
      </c>
      <c r="I115" s="542">
        <f t="shared" si="47"/>
        <v>8516.2289369669306</v>
      </c>
      <c r="J115" s="478">
        <f t="shared" si="27"/>
        <v>0</v>
      </c>
      <c r="K115" s="478"/>
      <c r="L115" s="487"/>
      <c r="M115" s="478">
        <f t="shared" si="28"/>
        <v>0</v>
      </c>
      <c r="N115" s="487"/>
      <c r="O115" s="478">
        <f t="shared" si="29"/>
        <v>0</v>
      </c>
      <c r="P115" s="478">
        <f t="shared" si="30"/>
        <v>0</v>
      </c>
    </row>
    <row r="116" spans="2:16">
      <c r="B116" s="160" t="str">
        <f t="shared" si="31"/>
        <v/>
      </c>
      <c r="C116" s="472">
        <f>IF(D93="","-",+C115+1)</f>
        <v>2024</v>
      </c>
      <c r="D116" s="347">
        <f>IF(F115+SUM(E$99:E115)=D$92,F115,D$92-SUM(E$99:E115))</f>
        <v>55716</v>
      </c>
      <c r="E116" s="486">
        <f>IF(+J96&lt;F115,J96,D116)</f>
        <v>2059</v>
      </c>
      <c r="F116" s="485">
        <f t="shared" si="44"/>
        <v>53657</v>
      </c>
      <c r="G116" s="485">
        <f t="shared" si="45"/>
        <v>54686.5</v>
      </c>
      <c r="H116" s="486">
        <f t="shared" si="46"/>
        <v>8281.9295761151443</v>
      </c>
      <c r="I116" s="542">
        <f t="shared" si="47"/>
        <v>8281.9295761151443</v>
      </c>
      <c r="J116" s="478">
        <f t="shared" si="27"/>
        <v>0</v>
      </c>
      <c r="K116" s="478"/>
      <c r="L116" s="487"/>
      <c r="M116" s="478">
        <f t="shared" si="28"/>
        <v>0</v>
      </c>
      <c r="N116" s="487"/>
      <c r="O116" s="478">
        <f t="shared" si="29"/>
        <v>0</v>
      </c>
      <c r="P116" s="478">
        <f t="shared" si="30"/>
        <v>0</v>
      </c>
    </row>
    <row r="117" spans="2:16">
      <c r="B117" s="160" t="str">
        <f t="shared" si="31"/>
        <v/>
      </c>
      <c r="C117" s="472">
        <f>IF(D93="","-",+C116+1)</f>
        <v>2025</v>
      </c>
      <c r="D117" s="347">
        <f>IF(F116+SUM(E$99:E116)=D$92,F116,D$92-SUM(E$99:E116))</f>
        <v>53657</v>
      </c>
      <c r="E117" s="486">
        <f>IF(+J96&lt;F116,J96,D117)</f>
        <v>2059</v>
      </c>
      <c r="F117" s="485">
        <f t="shared" si="44"/>
        <v>51598</v>
      </c>
      <c r="G117" s="485">
        <f t="shared" si="45"/>
        <v>52627.5</v>
      </c>
      <c r="H117" s="486">
        <f t="shared" si="46"/>
        <v>8047.6302152633616</v>
      </c>
      <c r="I117" s="542">
        <f t="shared" si="47"/>
        <v>8047.6302152633616</v>
      </c>
      <c r="J117" s="478">
        <f t="shared" si="27"/>
        <v>0</v>
      </c>
      <c r="K117" s="478"/>
      <c r="L117" s="487"/>
      <c r="M117" s="478">
        <f t="shared" si="28"/>
        <v>0</v>
      </c>
      <c r="N117" s="487"/>
      <c r="O117" s="478">
        <f t="shared" si="29"/>
        <v>0</v>
      </c>
      <c r="P117" s="478">
        <f t="shared" si="30"/>
        <v>0</v>
      </c>
    </row>
    <row r="118" spans="2:16">
      <c r="B118" s="160" t="str">
        <f t="shared" si="31"/>
        <v/>
      </c>
      <c r="C118" s="472">
        <f>IF(D93="","-",+C117+1)</f>
        <v>2026</v>
      </c>
      <c r="D118" s="347">
        <f>IF(F117+SUM(E$99:E117)=D$92,F117,D$92-SUM(E$99:E117))</f>
        <v>51598</v>
      </c>
      <c r="E118" s="486">
        <f>IF(+J96&lt;F117,J96,D118)</f>
        <v>2059</v>
      </c>
      <c r="F118" s="485">
        <f t="shared" si="44"/>
        <v>49539</v>
      </c>
      <c r="G118" s="485">
        <f t="shared" si="45"/>
        <v>50568.5</v>
      </c>
      <c r="H118" s="486">
        <f t="shared" si="46"/>
        <v>7813.3308544115771</v>
      </c>
      <c r="I118" s="542">
        <f t="shared" si="47"/>
        <v>7813.3308544115771</v>
      </c>
      <c r="J118" s="478">
        <f t="shared" si="27"/>
        <v>0</v>
      </c>
      <c r="K118" s="478"/>
      <c r="L118" s="487"/>
      <c r="M118" s="478">
        <f t="shared" si="28"/>
        <v>0</v>
      </c>
      <c r="N118" s="487"/>
      <c r="O118" s="478">
        <f t="shared" si="29"/>
        <v>0</v>
      </c>
      <c r="P118" s="478">
        <f t="shared" si="30"/>
        <v>0</v>
      </c>
    </row>
    <row r="119" spans="2:16">
      <c r="B119" s="160" t="str">
        <f t="shared" si="31"/>
        <v/>
      </c>
      <c r="C119" s="472">
        <f>IF(D93="","-",+C118+1)</f>
        <v>2027</v>
      </c>
      <c r="D119" s="347">
        <f>IF(F118+SUM(E$99:E118)=D$92,F118,D$92-SUM(E$99:E118))</f>
        <v>49539</v>
      </c>
      <c r="E119" s="486">
        <f>IF(+J96&lt;F118,J96,D119)</f>
        <v>2059</v>
      </c>
      <c r="F119" s="485">
        <f t="shared" si="44"/>
        <v>47480</v>
      </c>
      <c r="G119" s="485">
        <f t="shared" si="45"/>
        <v>48509.5</v>
      </c>
      <c r="H119" s="486">
        <f t="shared" si="46"/>
        <v>7579.0314935597935</v>
      </c>
      <c r="I119" s="542">
        <f t="shared" si="47"/>
        <v>7579.0314935597935</v>
      </c>
      <c r="J119" s="478">
        <f t="shared" si="27"/>
        <v>0</v>
      </c>
      <c r="K119" s="478"/>
      <c r="L119" s="487"/>
      <c r="M119" s="478">
        <f t="shared" si="28"/>
        <v>0</v>
      </c>
      <c r="N119" s="487"/>
      <c r="O119" s="478">
        <f t="shared" si="29"/>
        <v>0</v>
      </c>
      <c r="P119" s="478">
        <f t="shared" si="30"/>
        <v>0</v>
      </c>
    </row>
    <row r="120" spans="2:16">
      <c r="B120" s="160" t="str">
        <f t="shared" si="31"/>
        <v/>
      </c>
      <c r="C120" s="472">
        <f>IF(D93="","-",+C119+1)</f>
        <v>2028</v>
      </c>
      <c r="D120" s="347">
        <f>IF(F119+SUM(E$99:E119)=D$92,F119,D$92-SUM(E$99:E119))</f>
        <v>47480</v>
      </c>
      <c r="E120" s="486">
        <f>IF(+J96&lt;F119,J96,D120)</f>
        <v>2059</v>
      </c>
      <c r="F120" s="485">
        <f t="shared" si="44"/>
        <v>45421</v>
      </c>
      <c r="G120" s="485">
        <f t="shared" si="45"/>
        <v>46450.5</v>
      </c>
      <c r="H120" s="486">
        <f t="shared" si="46"/>
        <v>7344.7321327080099</v>
      </c>
      <c r="I120" s="542">
        <f t="shared" si="47"/>
        <v>7344.7321327080099</v>
      </c>
      <c r="J120" s="478">
        <f t="shared" si="27"/>
        <v>0</v>
      </c>
      <c r="K120" s="478"/>
      <c r="L120" s="487"/>
      <c r="M120" s="478">
        <f t="shared" si="28"/>
        <v>0</v>
      </c>
      <c r="N120" s="487"/>
      <c r="O120" s="478">
        <f t="shared" si="29"/>
        <v>0</v>
      </c>
      <c r="P120" s="478">
        <f t="shared" si="30"/>
        <v>0</v>
      </c>
    </row>
    <row r="121" spans="2:16">
      <c r="B121" s="160" t="str">
        <f t="shared" si="31"/>
        <v/>
      </c>
      <c r="C121" s="472">
        <f>IF(D93="","-",+C120+1)</f>
        <v>2029</v>
      </c>
      <c r="D121" s="347">
        <f>IF(F120+SUM(E$99:E120)=D$92,F120,D$92-SUM(E$99:E120))</f>
        <v>45421</v>
      </c>
      <c r="E121" s="486">
        <f>IF(+J96&lt;F120,J96,D121)</f>
        <v>2059</v>
      </c>
      <c r="F121" s="485">
        <f t="shared" si="44"/>
        <v>43362</v>
      </c>
      <c r="G121" s="485">
        <f t="shared" si="45"/>
        <v>44391.5</v>
      </c>
      <c r="H121" s="486">
        <f t="shared" si="46"/>
        <v>7110.4327718562254</v>
      </c>
      <c r="I121" s="542">
        <f t="shared" si="47"/>
        <v>7110.4327718562254</v>
      </c>
      <c r="J121" s="478">
        <f t="shared" si="27"/>
        <v>0</v>
      </c>
      <c r="K121" s="478"/>
      <c r="L121" s="487"/>
      <c r="M121" s="478">
        <f t="shared" si="28"/>
        <v>0</v>
      </c>
      <c r="N121" s="487"/>
      <c r="O121" s="478">
        <f t="shared" si="29"/>
        <v>0</v>
      </c>
      <c r="P121" s="478">
        <f t="shared" si="30"/>
        <v>0</v>
      </c>
    </row>
    <row r="122" spans="2:16">
      <c r="B122" s="160" t="str">
        <f t="shared" si="31"/>
        <v/>
      </c>
      <c r="C122" s="472">
        <f>IF(D93="","-",+C121+1)</f>
        <v>2030</v>
      </c>
      <c r="D122" s="347">
        <f>IF(F121+SUM(E$99:E121)=D$92,F121,D$92-SUM(E$99:E121))</f>
        <v>43362</v>
      </c>
      <c r="E122" s="486">
        <f>IF(+J96&lt;F121,J96,D122)</f>
        <v>2059</v>
      </c>
      <c r="F122" s="485">
        <f t="shared" si="44"/>
        <v>41303</v>
      </c>
      <c r="G122" s="485">
        <f t="shared" si="45"/>
        <v>42332.5</v>
      </c>
      <c r="H122" s="486">
        <f t="shared" si="46"/>
        <v>6876.1334110044418</v>
      </c>
      <c r="I122" s="542">
        <f t="shared" si="47"/>
        <v>6876.1334110044418</v>
      </c>
      <c r="J122" s="478">
        <f t="shared" si="27"/>
        <v>0</v>
      </c>
      <c r="K122" s="478"/>
      <c r="L122" s="487"/>
      <c r="M122" s="478">
        <f t="shared" si="28"/>
        <v>0</v>
      </c>
      <c r="N122" s="487"/>
      <c r="O122" s="478">
        <f t="shared" si="29"/>
        <v>0</v>
      </c>
      <c r="P122" s="478">
        <f t="shared" si="30"/>
        <v>0</v>
      </c>
    </row>
    <row r="123" spans="2:16">
      <c r="B123" s="160" t="str">
        <f t="shared" si="31"/>
        <v/>
      </c>
      <c r="C123" s="472">
        <f>IF(D93="","-",+C122+1)</f>
        <v>2031</v>
      </c>
      <c r="D123" s="347">
        <f>IF(F122+SUM(E$99:E122)=D$92,F122,D$92-SUM(E$99:E122))</f>
        <v>41303</v>
      </c>
      <c r="E123" s="486">
        <f>IF(+J96&lt;F122,J96,D123)</f>
        <v>2059</v>
      </c>
      <c r="F123" s="485">
        <f t="shared" si="44"/>
        <v>39244</v>
      </c>
      <c r="G123" s="485">
        <f t="shared" si="45"/>
        <v>40273.5</v>
      </c>
      <c r="H123" s="486">
        <f t="shared" si="46"/>
        <v>6641.8340501526573</v>
      </c>
      <c r="I123" s="542">
        <f t="shared" si="47"/>
        <v>6641.8340501526573</v>
      </c>
      <c r="J123" s="478">
        <f t="shared" si="27"/>
        <v>0</v>
      </c>
      <c r="K123" s="478"/>
      <c r="L123" s="487"/>
      <c r="M123" s="478">
        <f t="shared" si="28"/>
        <v>0</v>
      </c>
      <c r="N123" s="487"/>
      <c r="O123" s="478">
        <f t="shared" si="29"/>
        <v>0</v>
      </c>
      <c r="P123" s="478">
        <f t="shared" si="30"/>
        <v>0</v>
      </c>
    </row>
    <row r="124" spans="2:16">
      <c r="B124" s="160" t="str">
        <f t="shared" si="31"/>
        <v/>
      </c>
      <c r="C124" s="472">
        <f>IF(D93="","-",+C123+1)</f>
        <v>2032</v>
      </c>
      <c r="D124" s="347">
        <f>IF(F123+SUM(E$99:E123)=D$92,F123,D$92-SUM(E$99:E123))</f>
        <v>39244</v>
      </c>
      <c r="E124" s="486">
        <f>IF(+J96&lt;F123,J96,D124)</f>
        <v>2059</v>
      </c>
      <c r="F124" s="485">
        <f t="shared" si="44"/>
        <v>37185</v>
      </c>
      <c r="G124" s="485">
        <f t="shared" si="45"/>
        <v>38214.5</v>
      </c>
      <c r="H124" s="486">
        <f t="shared" si="46"/>
        <v>6407.5346893008737</v>
      </c>
      <c r="I124" s="542">
        <f t="shared" si="47"/>
        <v>6407.5346893008737</v>
      </c>
      <c r="J124" s="478">
        <f t="shared" si="27"/>
        <v>0</v>
      </c>
      <c r="K124" s="478"/>
      <c r="L124" s="487"/>
      <c r="M124" s="478">
        <f t="shared" si="28"/>
        <v>0</v>
      </c>
      <c r="N124" s="487"/>
      <c r="O124" s="478">
        <f t="shared" si="29"/>
        <v>0</v>
      </c>
      <c r="P124" s="478">
        <f t="shared" si="30"/>
        <v>0</v>
      </c>
    </row>
    <row r="125" spans="2:16">
      <c r="B125" s="160" t="str">
        <f t="shared" si="31"/>
        <v/>
      </c>
      <c r="C125" s="472">
        <f>IF(D93="","-",+C124+1)</f>
        <v>2033</v>
      </c>
      <c r="D125" s="347">
        <f>IF(F124+SUM(E$99:E124)=D$92,F124,D$92-SUM(E$99:E124))</f>
        <v>37185</v>
      </c>
      <c r="E125" s="486">
        <f>IF(+J96&lt;F124,J96,D125)</f>
        <v>2059</v>
      </c>
      <c r="F125" s="485">
        <f t="shared" si="44"/>
        <v>35126</v>
      </c>
      <c r="G125" s="485">
        <f t="shared" si="45"/>
        <v>36155.5</v>
      </c>
      <c r="H125" s="486">
        <f t="shared" si="46"/>
        <v>6173.23532844909</v>
      </c>
      <c r="I125" s="542">
        <f t="shared" si="47"/>
        <v>6173.23532844909</v>
      </c>
      <c r="J125" s="478">
        <f t="shared" si="27"/>
        <v>0</v>
      </c>
      <c r="K125" s="478"/>
      <c r="L125" s="487"/>
      <c r="M125" s="478">
        <f t="shared" si="28"/>
        <v>0</v>
      </c>
      <c r="N125" s="487"/>
      <c r="O125" s="478">
        <f t="shared" si="29"/>
        <v>0</v>
      </c>
      <c r="P125" s="478">
        <f t="shared" si="30"/>
        <v>0</v>
      </c>
    </row>
    <row r="126" spans="2:16">
      <c r="B126" s="160" t="str">
        <f t="shared" si="31"/>
        <v/>
      </c>
      <c r="C126" s="472">
        <f>IF(D93="","-",+C125+1)</f>
        <v>2034</v>
      </c>
      <c r="D126" s="347">
        <f>IF(F125+SUM(E$99:E125)=D$92,F125,D$92-SUM(E$99:E125))</f>
        <v>35126</v>
      </c>
      <c r="E126" s="486">
        <f>IF(+J96&lt;F125,J96,D126)</f>
        <v>2059</v>
      </c>
      <c r="F126" s="485">
        <f t="shared" si="44"/>
        <v>33067</v>
      </c>
      <c r="G126" s="485">
        <f t="shared" si="45"/>
        <v>34096.5</v>
      </c>
      <c r="H126" s="486">
        <f t="shared" si="46"/>
        <v>5938.9359675973055</v>
      </c>
      <c r="I126" s="542">
        <f t="shared" si="47"/>
        <v>5938.9359675973055</v>
      </c>
      <c r="J126" s="478">
        <f t="shared" si="27"/>
        <v>0</v>
      </c>
      <c r="K126" s="478"/>
      <c r="L126" s="487"/>
      <c r="M126" s="478">
        <f t="shared" si="28"/>
        <v>0</v>
      </c>
      <c r="N126" s="487"/>
      <c r="O126" s="478">
        <f t="shared" si="29"/>
        <v>0</v>
      </c>
      <c r="P126" s="478">
        <f t="shared" si="30"/>
        <v>0</v>
      </c>
    </row>
    <row r="127" spans="2:16">
      <c r="B127" s="160" t="str">
        <f t="shared" si="31"/>
        <v/>
      </c>
      <c r="C127" s="472">
        <f>IF(D93="","-",+C126+1)</f>
        <v>2035</v>
      </c>
      <c r="D127" s="347">
        <f>IF(F126+SUM(E$99:E126)=D$92,F126,D$92-SUM(E$99:E126))</f>
        <v>33067</v>
      </c>
      <c r="E127" s="486">
        <f>IF(+J96&lt;F126,J96,D127)</f>
        <v>2059</v>
      </c>
      <c r="F127" s="485">
        <f t="shared" si="44"/>
        <v>31008</v>
      </c>
      <c r="G127" s="485">
        <f t="shared" si="45"/>
        <v>32037.5</v>
      </c>
      <c r="H127" s="486">
        <f t="shared" si="46"/>
        <v>5704.6366067455219</v>
      </c>
      <c r="I127" s="542">
        <f t="shared" si="47"/>
        <v>5704.6366067455219</v>
      </c>
      <c r="J127" s="478">
        <f t="shared" si="27"/>
        <v>0</v>
      </c>
      <c r="K127" s="478"/>
      <c r="L127" s="487"/>
      <c r="M127" s="478">
        <f t="shared" si="28"/>
        <v>0</v>
      </c>
      <c r="N127" s="487"/>
      <c r="O127" s="478">
        <f t="shared" si="29"/>
        <v>0</v>
      </c>
      <c r="P127" s="478">
        <f t="shared" si="30"/>
        <v>0</v>
      </c>
    </row>
    <row r="128" spans="2:16">
      <c r="B128" s="160" t="str">
        <f t="shared" si="31"/>
        <v/>
      </c>
      <c r="C128" s="472">
        <f>IF(D93="","-",+C127+1)</f>
        <v>2036</v>
      </c>
      <c r="D128" s="347">
        <f>IF(F127+SUM(E$99:E127)=D$92,F127,D$92-SUM(E$99:E127))</f>
        <v>31008</v>
      </c>
      <c r="E128" s="486">
        <f>IF(+J96&lt;F127,J96,D128)</f>
        <v>2059</v>
      </c>
      <c r="F128" s="485">
        <f t="shared" si="44"/>
        <v>28949</v>
      </c>
      <c r="G128" s="485">
        <f t="shared" si="45"/>
        <v>29978.5</v>
      </c>
      <c r="H128" s="486">
        <f t="shared" si="46"/>
        <v>5470.3372458937374</v>
      </c>
      <c r="I128" s="542">
        <f t="shared" si="47"/>
        <v>5470.3372458937374</v>
      </c>
      <c r="J128" s="478">
        <f t="shared" si="27"/>
        <v>0</v>
      </c>
      <c r="K128" s="478"/>
      <c r="L128" s="487"/>
      <c r="M128" s="478">
        <f t="shared" si="28"/>
        <v>0</v>
      </c>
      <c r="N128" s="487"/>
      <c r="O128" s="478">
        <f t="shared" si="29"/>
        <v>0</v>
      </c>
      <c r="P128" s="478">
        <f t="shared" si="30"/>
        <v>0</v>
      </c>
    </row>
    <row r="129" spans="2:16">
      <c r="B129" s="160" t="str">
        <f t="shared" si="31"/>
        <v/>
      </c>
      <c r="C129" s="472">
        <f>IF(D93="","-",+C128+1)</f>
        <v>2037</v>
      </c>
      <c r="D129" s="347">
        <f>IF(F128+SUM(E$99:E128)=D$92,F128,D$92-SUM(E$99:E128))</f>
        <v>28949</v>
      </c>
      <c r="E129" s="486">
        <f>IF(+J96&lt;F128,J96,D129)</f>
        <v>2059</v>
      </c>
      <c r="F129" s="485">
        <f t="shared" si="44"/>
        <v>26890</v>
      </c>
      <c r="G129" s="485">
        <f t="shared" si="45"/>
        <v>27919.5</v>
      </c>
      <c r="H129" s="486">
        <f t="shared" si="46"/>
        <v>5236.0378850419538</v>
      </c>
      <c r="I129" s="542">
        <f t="shared" si="47"/>
        <v>5236.0378850419538</v>
      </c>
      <c r="J129" s="478">
        <f t="shared" si="27"/>
        <v>0</v>
      </c>
      <c r="K129" s="478"/>
      <c r="L129" s="487"/>
      <c r="M129" s="478">
        <f t="shared" si="28"/>
        <v>0</v>
      </c>
      <c r="N129" s="487"/>
      <c r="O129" s="478">
        <f t="shared" si="29"/>
        <v>0</v>
      </c>
      <c r="P129" s="478">
        <f t="shared" si="30"/>
        <v>0</v>
      </c>
    </row>
    <row r="130" spans="2:16">
      <c r="B130" s="160" t="str">
        <f t="shared" si="31"/>
        <v/>
      </c>
      <c r="C130" s="472">
        <f>IF(D93="","-",+C129+1)</f>
        <v>2038</v>
      </c>
      <c r="D130" s="347">
        <f>IF(F129+SUM(E$99:E129)=D$92,F129,D$92-SUM(E$99:E129))</f>
        <v>26890</v>
      </c>
      <c r="E130" s="486">
        <f>IF(+J96&lt;F129,J96,D130)</f>
        <v>2059</v>
      </c>
      <c r="F130" s="485">
        <f t="shared" ref="F130:F153" si="48">+D130-E130</f>
        <v>24831</v>
      </c>
      <c r="G130" s="485">
        <f t="shared" ref="G130:G153" si="49">+(F130+D130)/2</f>
        <v>25860.5</v>
      </c>
      <c r="H130" s="486">
        <f t="shared" si="46"/>
        <v>5001.7385241901702</v>
      </c>
      <c r="I130" s="542">
        <f t="shared" si="47"/>
        <v>5001.7385241901702</v>
      </c>
      <c r="J130" s="478">
        <f t="shared" si="27"/>
        <v>0</v>
      </c>
      <c r="K130" s="478"/>
      <c r="L130" s="487"/>
      <c r="M130" s="478">
        <f t="shared" si="28"/>
        <v>0</v>
      </c>
      <c r="N130" s="487"/>
      <c r="O130" s="478">
        <f t="shared" si="29"/>
        <v>0</v>
      </c>
      <c r="P130" s="478">
        <f t="shared" si="30"/>
        <v>0</v>
      </c>
    </row>
    <row r="131" spans="2:16">
      <c r="B131" s="160" t="str">
        <f t="shared" si="31"/>
        <v/>
      </c>
      <c r="C131" s="472">
        <f>IF(D93="","-",+C130+1)</f>
        <v>2039</v>
      </c>
      <c r="D131" s="347">
        <f>IF(F130+SUM(E$99:E130)=D$92,F130,D$92-SUM(E$99:E130))</f>
        <v>24831</v>
      </c>
      <c r="E131" s="486">
        <f>IF(+J96&lt;F130,J96,D131)</f>
        <v>2059</v>
      </c>
      <c r="F131" s="485">
        <f t="shared" si="48"/>
        <v>22772</v>
      </c>
      <c r="G131" s="485">
        <f t="shared" si="49"/>
        <v>23801.5</v>
      </c>
      <c r="H131" s="486">
        <f t="shared" si="46"/>
        <v>4767.4391633383857</v>
      </c>
      <c r="I131" s="542">
        <f t="shared" si="47"/>
        <v>4767.4391633383857</v>
      </c>
      <c r="J131" s="478">
        <f t="shared" ref="J131:J154" si="50">+I382-H382</f>
        <v>0</v>
      </c>
      <c r="K131" s="478"/>
      <c r="L131" s="487"/>
      <c r="M131" s="478">
        <f t="shared" ref="M131:M154" si="51">IF(L382&lt;&gt;0,+H382-L382,0)</f>
        <v>0</v>
      </c>
      <c r="N131" s="487"/>
      <c r="O131" s="478">
        <f t="shared" ref="O131:O154" si="52">IF(N382&lt;&gt;0,+I382-N382,0)</f>
        <v>0</v>
      </c>
      <c r="P131" s="478">
        <f t="shared" ref="P131:P154" si="53">+O382-M382</f>
        <v>0</v>
      </c>
    </row>
    <row r="132" spans="2:16">
      <c r="B132" s="160" t="str">
        <f t="shared" si="31"/>
        <v/>
      </c>
      <c r="C132" s="472">
        <f>IF(D93="","-",+C131+1)</f>
        <v>2040</v>
      </c>
      <c r="D132" s="347">
        <f>IF(F131+SUM(E$99:E131)=D$92,F131,D$92-SUM(E$99:E131))</f>
        <v>22772</v>
      </c>
      <c r="E132" s="486">
        <f>IF(+J96&lt;F131,J96,D132)</f>
        <v>2059</v>
      </c>
      <c r="F132" s="485">
        <f t="shared" si="48"/>
        <v>20713</v>
      </c>
      <c r="G132" s="485">
        <f t="shared" si="49"/>
        <v>21742.5</v>
      </c>
      <c r="H132" s="486">
        <f t="shared" si="46"/>
        <v>4533.1398024866012</v>
      </c>
      <c r="I132" s="542">
        <f t="shared" si="47"/>
        <v>4533.1398024866012</v>
      </c>
      <c r="J132" s="478">
        <f t="shared" si="50"/>
        <v>0</v>
      </c>
      <c r="K132" s="478"/>
      <c r="L132" s="487"/>
      <c r="M132" s="478">
        <f t="shared" si="51"/>
        <v>0</v>
      </c>
      <c r="N132" s="487"/>
      <c r="O132" s="478">
        <f t="shared" si="52"/>
        <v>0</v>
      </c>
      <c r="P132" s="478">
        <f t="shared" si="53"/>
        <v>0</v>
      </c>
    </row>
    <row r="133" spans="2:16">
      <c r="B133" s="160" t="str">
        <f t="shared" si="31"/>
        <v/>
      </c>
      <c r="C133" s="472">
        <f>IF(D93="","-",+C132+1)</f>
        <v>2041</v>
      </c>
      <c r="D133" s="347">
        <f>IF(F132+SUM(E$99:E132)=D$92,F132,D$92-SUM(E$99:E132))</f>
        <v>20713</v>
      </c>
      <c r="E133" s="486">
        <f>IF(+J96&lt;F132,J96,D133)</f>
        <v>2059</v>
      </c>
      <c r="F133" s="485">
        <f t="shared" si="48"/>
        <v>18654</v>
      </c>
      <c r="G133" s="485">
        <f t="shared" si="49"/>
        <v>19683.5</v>
      </c>
      <c r="H133" s="486">
        <f t="shared" si="46"/>
        <v>4298.8404416348185</v>
      </c>
      <c r="I133" s="542">
        <f t="shared" si="47"/>
        <v>4298.8404416348185</v>
      </c>
      <c r="J133" s="478">
        <f t="shared" si="50"/>
        <v>0</v>
      </c>
      <c r="K133" s="478"/>
      <c r="L133" s="487"/>
      <c r="M133" s="478">
        <f t="shared" si="51"/>
        <v>0</v>
      </c>
      <c r="N133" s="487"/>
      <c r="O133" s="478">
        <f t="shared" si="52"/>
        <v>0</v>
      </c>
      <c r="P133" s="478">
        <f t="shared" si="53"/>
        <v>0</v>
      </c>
    </row>
    <row r="134" spans="2:16">
      <c r="B134" s="160" t="str">
        <f t="shared" si="31"/>
        <v/>
      </c>
      <c r="C134" s="472">
        <f>IF(D93="","-",+C133+1)</f>
        <v>2042</v>
      </c>
      <c r="D134" s="347">
        <f>IF(F133+SUM(E$99:E133)=D$92,F133,D$92-SUM(E$99:E133))</f>
        <v>18654</v>
      </c>
      <c r="E134" s="486">
        <f>IF(+J96&lt;F133,J96,D134)</f>
        <v>2059</v>
      </c>
      <c r="F134" s="485">
        <f t="shared" si="48"/>
        <v>16595</v>
      </c>
      <c r="G134" s="485">
        <f t="shared" si="49"/>
        <v>17624.5</v>
      </c>
      <c r="H134" s="486">
        <f t="shared" si="46"/>
        <v>4064.541080783034</v>
      </c>
      <c r="I134" s="542">
        <f t="shared" si="47"/>
        <v>4064.541080783034</v>
      </c>
      <c r="J134" s="478">
        <f t="shared" si="50"/>
        <v>0</v>
      </c>
      <c r="K134" s="478"/>
      <c r="L134" s="487"/>
      <c r="M134" s="478">
        <f t="shared" si="51"/>
        <v>0</v>
      </c>
      <c r="N134" s="487"/>
      <c r="O134" s="478">
        <f t="shared" si="52"/>
        <v>0</v>
      </c>
      <c r="P134" s="478">
        <f t="shared" si="53"/>
        <v>0</v>
      </c>
    </row>
    <row r="135" spans="2:16">
      <c r="B135" s="160" t="str">
        <f t="shared" si="31"/>
        <v/>
      </c>
      <c r="C135" s="472">
        <f>IF(D93="","-",+C134+1)</f>
        <v>2043</v>
      </c>
      <c r="D135" s="347">
        <f>IF(F134+SUM(E$99:E134)=D$92,F134,D$92-SUM(E$99:E134))</f>
        <v>16595</v>
      </c>
      <c r="E135" s="486">
        <f>IF(+J96&lt;F134,J96,D135)</f>
        <v>2059</v>
      </c>
      <c r="F135" s="485">
        <f t="shared" si="48"/>
        <v>14536</v>
      </c>
      <c r="G135" s="485">
        <f t="shared" si="49"/>
        <v>15565.5</v>
      </c>
      <c r="H135" s="486">
        <f t="shared" si="46"/>
        <v>3830.2417199312499</v>
      </c>
      <c r="I135" s="542">
        <f t="shared" si="47"/>
        <v>3830.2417199312499</v>
      </c>
      <c r="J135" s="478">
        <f t="shared" si="50"/>
        <v>0</v>
      </c>
      <c r="K135" s="478"/>
      <c r="L135" s="487"/>
      <c r="M135" s="478">
        <f t="shared" si="51"/>
        <v>0</v>
      </c>
      <c r="N135" s="487"/>
      <c r="O135" s="478">
        <f t="shared" si="52"/>
        <v>0</v>
      </c>
      <c r="P135" s="478">
        <f t="shared" si="53"/>
        <v>0</v>
      </c>
    </row>
    <row r="136" spans="2:16">
      <c r="B136" s="160" t="str">
        <f t="shared" si="31"/>
        <v/>
      </c>
      <c r="C136" s="472">
        <f>IF(D93="","-",+C135+1)</f>
        <v>2044</v>
      </c>
      <c r="D136" s="347">
        <f>IF(F135+SUM(E$99:E135)=D$92,F135,D$92-SUM(E$99:E135))</f>
        <v>14536</v>
      </c>
      <c r="E136" s="486">
        <f>IF(+J96&lt;F135,J96,D136)</f>
        <v>2059</v>
      </c>
      <c r="F136" s="485">
        <f t="shared" si="48"/>
        <v>12477</v>
      </c>
      <c r="G136" s="485">
        <f t="shared" si="49"/>
        <v>13506.5</v>
      </c>
      <c r="H136" s="486">
        <f t="shared" si="46"/>
        <v>3595.9423590794659</v>
      </c>
      <c r="I136" s="542">
        <f t="shared" si="47"/>
        <v>3595.9423590794659</v>
      </c>
      <c r="J136" s="478">
        <f t="shared" si="50"/>
        <v>0</v>
      </c>
      <c r="K136" s="478"/>
      <c r="L136" s="487"/>
      <c r="M136" s="478">
        <f t="shared" si="51"/>
        <v>0</v>
      </c>
      <c r="N136" s="487"/>
      <c r="O136" s="478">
        <f t="shared" si="52"/>
        <v>0</v>
      </c>
      <c r="P136" s="478">
        <f t="shared" si="53"/>
        <v>0</v>
      </c>
    </row>
    <row r="137" spans="2:16">
      <c r="B137" s="160" t="str">
        <f t="shared" si="31"/>
        <v/>
      </c>
      <c r="C137" s="472">
        <f>IF(D93="","-",+C136+1)</f>
        <v>2045</v>
      </c>
      <c r="D137" s="347">
        <f>IF(F136+SUM(E$99:E136)=D$92,F136,D$92-SUM(E$99:E136))</f>
        <v>12477</v>
      </c>
      <c r="E137" s="486">
        <f>IF(+J96&lt;F136,J96,D137)</f>
        <v>2059</v>
      </c>
      <c r="F137" s="485">
        <f t="shared" si="48"/>
        <v>10418</v>
      </c>
      <c r="G137" s="485">
        <f t="shared" si="49"/>
        <v>11447.5</v>
      </c>
      <c r="H137" s="486">
        <f t="shared" si="46"/>
        <v>3361.6429982276823</v>
      </c>
      <c r="I137" s="542">
        <f t="shared" si="47"/>
        <v>3361.6429982276823</v>
      </c>
      <c r="J137" s="478">
        <f t="shared" si="50"/>
        <v>0</v>
      </c>
      <c r="K137" s="478"/>
      <c r="L137" s="487"/>
      <c r="M137" s="478">
        <f t="shared" si="51"/>
        <v>0</v>
      </c>
      <c r="N137" s="487"/>
      <c r="O137" s="478">
        <f t="shared" si="52"/>
        <v>0</v>
      </c>
      <c r="P137" s="478">
        <f t="shared" si="53"/>
        <v>0</v>
      </c>
    </row>
    <row r="138" spans="2:16">
      <c r="B138" s="160" t="str">
        <f t="shared" si="31"/>
        <v/>
      </c>
      <c r="C138" s="472">
        <f>IF(D93="","-",+C137+1)</f>
        <v>2046</v>
      </c>
      <c r="D138" s="347">
        <f>IF(F137+SUM(E$99:E137)=D$92,F137,D$92-SUM(E$99:E137))</f>
        <v>10418</v>
      </c>
      <c r="E138" s="486">
        <f>IF(+J96&lt;F137,J96,D138)</f>
        <v>2059</v>
      </c>
      <c r="F138" s="485">
        <f t="shared" si="48"/>
        <v>8359</v>
      </c>
      <c r="G138" s="485">
        <f t="shared" si="49"/>
        <v>9388.5</v>
      </c>
      <c r="H138" s="486">
        <f t="shared" si="46"/>
        <v>3127.3436373758977</v>
      </c>
      <c r="I138" s="542">
        <f t="shared" si="47"/>
        <v>3127.3436373758977</v>
      </c>
      <c r="J138" s="478">
        <f t="shared" si="50"/>
        <v>0</v>
      </c>
      <c r="K138" s="478"/>
      <c r="L138" s="487"/>
      <c r="M138" s="478">
        <f t="shared" si="51"/>
        <v>0</v>
      </c>
      <c r="N138" s="487"/>
      <c r="O138" s="478">
        <f t="shared" si="52"/>
        <v>0</v>
      </c>
      <c r="P138" s="478">
        <f t="shared" si="53"/>
        <v>0</v>
      </c>
    </row>
    <row r="139" spans="2:16">
      <c r="B139" s="160" t="str">
        <f t="shared" si="31"/>
        <v/>
      </c>
      <c r="C139" s="472">
        <f>IF(D93="","-",+C138+1)</f>
        <v>2047</v>
      </c>
      <c r="D139" s="347">
        <f>IF(F138+SUM(E$99:E138)=D$92,F138,D$92-SUM(E$99:E138))</f>
        <v>8359</v>
      </c>
      <c r="E139" s="486">
        <f>IF(+J96&lt;F138,J96,D139)</f>
        <v>2059</v>
      </c>
      <c r="F139" s="485">
        <f t="shared" si="48"/>
        <v>6300</v>
      </c>
      <c r="G139" s="485">
        <f t="shared" si="49"/>
        <v>7329.5</v>
      </c>
      <c r="H139" s="486">
        <f t="shared" si="46"/>
        <v>2893.0442765241141</v>
      </c>
      <c r="I139" s="542">
        <f t="shared" si="47"/>
        <v>2893.0442765241141</v>
      </c>
      <c r="J139" s="478">
        <f t="shared" si="50"/>
        <v>0</v>
      </c>
      <c r="K139" s="478"/>
      <c r="L139" s="487"/>
      <c r="M139" s="478">
        <f t="shared" si="51"/>
        <v>0</v>
      </c>
      <c r="N139" s="487"/>
      <c r="O139" s="478">
        <f t="shared" si="52"/>
        <v>0</v>
      </c>
      <c r="P139" s="478">
        <f t="shared" si="53"/>
        <v>0</v>
      </c>
    </row>
    <row r="140" spans="2:16">
      <c r="B140" s="160" t="str">
        <f t="shared" si="31"/>
        <v/>
      </c>
      <c r="C140" s="472">
        <f>IF(D93="","-",+C139+1)</f>
        <v>2048</v>
      </c>
      <c r="D140" s="347">
        <f>IF(F139+SUM(E$99:E139)=D$92,F139,D$92-SUM(E$99:E139))</f>
        <v>6300</v>
      </c>
      <c r="E140" s="486">
        <f>IF(+J96&lt;F139,J96,D140)</f>
        <v>2059</v>
      </c>
      <c r="F140" s="485">
        <f t="shared" si="48"/>
        <v>4241</v>
      </c>
      <c r="G140" s="485">
        <f t="shared" si="49"/>
        <v>5270.5</v>
      </c>
      <c r="H140" s="486">
        <f t="shared" si="46"/>
        <v>2658.7449156723301</v>
      </c>
      <c r="I140" s="542">
        <f t="shared" si="47"/>
        <v>2658.7449156723301</v>
      </c>
      <c r="J140" s="478">
        <f t="shared" si="50"/>
        <v>0</v>
      </c>
      <c r="K140" s="478"/>
      <c r="L140" s="487"/>
      <c r="M140" s="478">
        <f t="shared" si="51"/>
        <v>0</v>
      </c>
      <c r="N140" s="487"/>
      <c r="O140" s="478">
        <f t="shared" si="52"/>
        <v>0</v>
      </c>
      <c r="P140" s="478">
        <f t="shared" si="53"/>
        <v>0</v>
      </c>
    </row>
    <row r="141" spans="2:16">
      <c r="B141" s="160" t="str">
        <f t="shared" si="31"/>
        <v/>
      </c>
      <c r="C141" s="472">
        <f>IF(D93="","-",+C140+1)</f>
        <v>2049</v>
      </c>
      <c r="D141" s="347">
        <f>IF(F140+SUM(E$99:E140)=D$92,F140,D$92-SUM(E$99:E140))</f>
        <v>4241</v>
      </c>
      <c r="E141" s="486">
        <f>IF(+J96&lt;F140,J96,D141)</f>
        <v>2059</v>
      </c>
      <c r="F141" s="485">
        <f t="shared" si="48"/>
        <v>2182</v>
      </c>
      <c r="G141" s="485">
        <f t="shared" si="49"/>
        <v>3211.5</v>
      </c>
      <c r="H141" s="486">
        <f t="shared" si="46"/>
        <v>2424.445554820546</v>
      </c>
      <c r="I141" s="542">
        <f t="shared" si="47"/>
        <v>2424.445554820546</v>
      </c>
      <c r="J141" s="478">
        <f t="shared" si="50"/>
        <v>0</v>
      </c>
      <c r="K141" s="478"/>
      <c r="L141" s="487"/>
      <c r="M141" s="478">
        <f t="shared" si="51"/>
        <v>0</v>
      </c>
      <c r="N141" s="487"/>
      <c r="O141" s="478">
        <f t="shared" si="52"/>
        <v>0</v>
      </c>
      <c r="P141" s="478">
        <f t="shared" si="53"/>
        <v>0</v>
      </c>
    </row>
    <row r="142" spans="2:16">
      <c r="B142" s="160" t="str">
        <f t="shared" si="31"/>
        <v/>
      </c>
      <c r="C142" s="472">
        <f>IF(D93="","-",+C141+1)</f>
        <v>2050</v>
      </c>
      <c r="D142" s="347">
        <f>IF(F141+SUM(E$99:E141)=D$92,F141,D$92-SUM(E$99:E141))</f>
        <v>2182</v>
      </c>
      <c r="E142" s="486">
        <f>IF(+J96&lt;F141,J96,D142)</f>
        <v>2059</v>
      </c>
      <c r="F142" s="485">
        <f t="shared" si="48"/>
        <v>123</v>
      </c>
      <c r="G142" s="485">
        <f t="shared" si="49"/>
        <v>1152.5</v>
      </c>
      <c r="H142" s="486">
        <f t="shared" si="46"/>
        <v>2190.146193968762</v>
      </c>
      <c r="I142" s="542">
        <f t="shared" si="47"/>
        <v>2190.146193968762</v>
      </c>
      <c r="J142" s="478">
        <f t="shared" si="50"/>
        <v>0</v>
      </c>
      <c r="K142" s="478"/>
      <c r="L142" s="487"/>
      <c r="M142" s="478">
        <f t="shared" si="51"/>
        <v>0</v>
      </c>
      <c r="N142" s="487"/>
      <c r="O142" s="478">
        <f t="shared" si="52"/>
        <v>0</v>
      </c>
      <c r="P142" s="478">
        <f t="shared" si="53"/>
        <v>0</v>
      </c>
    </row>
    <row r="143" spans="2:16">
      <c r="B143" s="160" t="str">
        <f t="shared" si="31"/>
        <v/>
      </c>
      <c r="C143" s="472">
        <f>IF(D93="","-",+C142+1)</f>
        <v>2051</v>
      </c>
      <c r="D143" s="347">
        <f>IF(F142+SUM(E$99:E142)=D$92,F142,D$92-SUM(E$99:E142))</f>
        <v>123</v>
      </c>
      <c r="E143" s="486">
        <f>IF(+J96&lt;F142,J96,D143)</f>
        <v>123</v>
      </c>
      <c r="F143" s="485">
        <f t="shared" si="48"/>
        <v>0</v>
      </c>
      <c r="G143" s="485">
        <f t="shared" si="49"/>
        <v>61.5</v>
      </c>
      <c r="H143" s="486">
        <f t="shared" si="46"/>
        <v>129.99825677143502</v>
      </c>
      <c r="I143" s="542">
        <f t="shared" si="47"/>
        <v>129.99825677143502</v>
      </c>
      <c r="J143" s="478">
        <f t="shared" si="50"/>
        <v>0</v>
      </c>
      <c r="K143" s="478"/>
      <c r="L143" s="487"/>
      <c r="M143" s="478">
        <f t="shared" si="51"/>
        <v>0</v>
      </c>
      <c r="N143" s="487"/>
      <c r="O143" s="478">
        <f t="shared" si="52"/>
        <v>0</v>
      </c>
      <c r="P143" s="478">
        <f t="shared" si="53"/>
        <v>0</v>
      </c>
    </row>
    <row r="144" spans="2:16">
      <c r="B144" s="160" t="str">
        <f t="shared" si="31"/>
        <v/>
      </c>
      <c r="C144" s="472">
        <f>IF(D93="","-",+C143+1)</f>
        <v>2052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48"/>
        <v>0</v>
      </c>
      <c r="G144" s="485">
        <f t="shared" si="49"/>
        <v>0</v>
      </c>
      <c r="H144" s="486">
        <f t="shared" si="46"/>
        <v>0</v>
      </c>
      <c r="I144" s="542">
        <f t="shared" si="47"/>
        <v>0</v>
      </c>
      <c r="J144" s="478">
        <f t="shared" si="50"/>
        <v>0</v>
      </c>
      <c r="K144" s="478"/>
      <c r="L144" s="487"/>
      <c r="M144" s="478">
        <f t="shared" si="51"/>
        <v>0</v>
      </c>
      <c r="N144" s="487"/>
      <c r="O144" s="478">
        <f t="shared" si="52"/>
        <v>0</v>
      </c>
      <c r="P144" s="478">
        <f t="shared" si="53"/>
        <v>0</v>
      </c>
    </row>
    <row r="145" spans="2:16">
      <c r="B145" s="160" t="str">
        <f t="shared" si="31"/>
        <v/>
      </c>
      <c r="C145" s="472">
        <f>IF(D93="","-",+C144+1)</f>
        <v>2053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48"/>
        <v>0</v>
      </c>
      <c r="G145" s="485">
        <f t="shared" si="49"/>
        <v>0</v>
      </c>
      <c r="H145" s="486">
        <f t="shared" si="46"/>
        <v>0</v>
      </c>
      <c r="I145" s="542">
        <f t="shared" si="47"/>
        <v>0</v>
      </c>
      <c r="J145" s="478">
        <f t="shared" si="50"/>
        <v>0</v>
      </c>
      <c r="K145" s="478"/>
      <c r="L145" s="487"/>
      <c r="M145" s="478">
        <f t="shared" si="51"/>
        <v>0</v>
      </c>
      <c r="N145" s="487"/>
      <c r="O145" s="478">
        <f t="shared" si="52"/>
        <v>0</v>
      </c>
      <c r="P145" s="478">
        <f t="shared" si="53"/>
        <v>0</v>
      </c>
    </row>
    <row r="146" spans="2:16">
      <c r="B146" s="160" t="str">
        <f t="shared" si="31"/>
        <v/>
      </c>
      <c r="C146" s="472">
        <f>IF(D93="","-",+C145+1)</f>
        <v>2054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48"/>
        <v>0</v>
      </c>
      <c r="G146" s="485">
        <f t="shared" si="49"/>
        <v>0</v>
      </c>
      <c r="H146" s="486">
        <f t="shared" si="46"/>
        <v>0</v>
      </c>
      <c r="I146" s="542">
        <f t="shared" si="47"/>
        <v>0</v>
      </c>
      <c r="J146" s="478">
        <f t="shared" si="50"/>
        <v>0</v>
      </c>
      <c r="K146" s="478"/>
      <c r="L146" s="487"/>
      <c r="M146" s="478">
        <f t="shared" si="51"/>
        <v>0</v>
      </c>
      <c r="N146" s="487"/>
      <c r="O146" s="478">
        <f t="shared" si="52"/>
        <v>0</v>
      </c>
      <c r="P146" s="478">
        <f t="shared" si="53"/>
        <v>0</v>
      </c>
    </row>
    <row r="147" spans="2:16">
      <c r="B147" s="160" t="str">
        <f t="shared" si="31"/>
        <v/>
      </c>
      <c r="C147" s="472">
        <f>IF(D93="","-",+C146+1)</f>
        <v>2055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48"/>
        <v>0</v>
      </c>
      <c r="G147" s="485">
        <f t="shared" si="49"/>
        <v>0</v>
      </c>
      <c r="H147" s="486">
        <f t="shared" si="46"/>
        <v>0</v>
      </c>
      <c r="I147" s="542">
        <f t="shared" si="47"/>
        <v>0</v>
      </c>
      <c r="J147" s="478">
        <f t="shared" si="50"/>
        <v>0</v>
      </c>
      <c r="K147" s="478"/>
      <c r="L147" s="487"/>
      <c r="M147" s="478">
        <f t="shared" si="51"/>
        <v>0</v>
      </c>
      <c r="N147" s="487"/>
      <c r="O147" s="478">
        <f t="shared" si="52"/>
        <v>0</v>
      </c>
      <c r="P147" s="478">
        <f t="shared" si="53"/>
        <v>0</v>
      </c>
    </row>
    <row r="148" spans="2:16">
      <c r="B148" s="160" t="str">
        <f t="shared" si="31"/>
        <v/>
      </c>
      <c r="C148" s="472">
        <f>IF(D93="","-",+C147+1)</f>
        <v>2056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48"/>
        <v>0</v>
      </c>
      <c r="G148" s="485">
        <f t="shared" si="49"/>
        <v>0</v>
      </c>
      <c r="H148" s="486">
        <f t="shared" si="46"/>
        <v>0</v>
      </c>
      <c r="I148" s="542">
        <f t="shared" si="47"/>
        <v>0</v>
      </c>
      <c r="J148" s="478">
        <f t="shared" si="50"/>
        <v>0</v>
      </c>
      <c r="K148" s="478"/>
      <c r="L148" s="487"/>
      <c r="M148" s="478">
        <f t="shared" si="51"/>
        <v>0</v>
      </c>
      <c r="N148" s="487"/>
      <c r="O148" s="478">
        <f t="shared" si="52"/>
        <v>0</v>
      </c>
      <c r="P148" s="478">
        <f t="shared" si="53"/>
        <v>0</v>
      </c>
    </row>
    <row r="149" spans="2:16">
      <c r="B149" s="160" t="str">
        <f t="shared" si="31"/>
        <v/>
      </c>
      <c r="C149" s="472">
        <f>IF(D93="","-",+C148+1)</f>
        <v>2057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48"/>
        <v>0</v>
      </c>
      <c r="G149" s="485">
        <f t="shared" si="49"/>
        <v>0</v>
      </c>
      <c r="H149" s="486">
        <f t="shared" si="46"/>
        <v>0</v>
      </c>
      <c r="I149" s="542">
        <f t="shared" si="47"/>
        <v>0</v>
      </c>
      <c r="J149" s="478">
        <f t="shared" si="50"/>
        <v>0</v>
      </c>
      <c r="K149" s="478"/>
      <c r="L149" s="487"/>
      <c r="M149" s="478">
        <f t="shared" si="51"/>
        <v>0</v>
      </c>
      <c r="N149" s="487"/>
      <c r="O149" s="478">
        <f t="shared" si="52"/>
        <v>0</v>
      </c>
      <c r="P149" s="478">
        <f t="shared" si="53"/>
        <v>0</v>
      </c>
    </row>
    <row r="150" spans="2:16">
      <c r="B150" s="160" t="str">
        <f t="shared" si="31"/>
        <v/>
      </c>
      <c r="C150" s="472">
        <f>IF(D93="","-",+C149+1)</f>
        <v>2058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48"/>
        <v>0</v>
      </c>
      <c r="G150" s="485">
        <f t="shared" si="49"/>
        <v>0</v>
      </c>
      <c r="H150" s="486">
        <f t="shared" si="46"/>
        <v>0</v>
      </c>
      <c r="I150" s="542">
        <f t="shared" si="47"/>
        <v>0</v>
      </c>
      <c r="J150" s="478">
        <f t="shared" si="50"/>
        <v>0</v>
      </c>
      <c r="K150" s="478"/>
      <c r="L150" s="487"/>
      <c r="M150" s="478">
        <f t="shared" si="51"/>
        <v>0</v>
      </c>
      <c r="N150" s="487"/>
      <c r="O150" s="478">
        <f t="shared" si="52"/>
        <v>0</v>
      </c>
      <c r="P150" s="478">
        <f t="shared" si="53"/>
        <v>0</v>
      </c>
    </row>
    <row r="151" spans="2:16">
      <c r="B151" s="160" t="str">
        <f t="shared" si="31"/>
        <v/>
      </c>
      <c r="C151" s="472">
        <f>IF(D93="","-",+C150+1)</f>
        <v>2059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48"/>
        <v>0</v>
      </c>
      <c r="G151" s="485">
        <f t="shared" si="49"/>
        <v>0</v>
      </c>
      <c r="H151" s="486">
        <f t="shared" si="46"/>
        <v>0</v>
      </c>
      <c r="I151" s="542">
        <f t="shared" si="47"/>
        <v>0</v>
      </c>
      <c r="J151" s="478">
        <f t="shared" si="50"/>
        <v>0</v>
      </c>
      <c r="K151" s="478"/>
      <c r="L151" s="487"/>
      <c r="M151" s="478">
        <f t="shared" si="51"/>
        <v>0</v>
      </c>
      <c r="N151" s="487"/>
      <c r="O151" s="478">
        <f t="shared" si="52"/>
        <v>0</v>
      </c>
      <c r="P151" s="478">
        <f t="shared" si="53"/>
        <v>0</v>
      </c>
    </row>
    <row r="152" spans="2:16">
      <c r="B152" s="160" t="str">
        <f t="shared" si="31"/>
        <v/>
      </c>
      <c r="C152" s="472">
        <f>IF(D93="","-",+C151+1)</f>
        <v>2060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48"/>
        <v>0</v>
      </c>
      <c r="G152" s="485">
        <f t="shared" si="49"/>
        <v>0</v>
      </c>
      <c r="H152" s="486">
        <f t="shared" si="46"/>
        <v>0</v>
      </c>
      <c r="I152" s="542">
        <f t="shared" si="47"/>
        <v>0</v>
      </c>
      <c r="J152" s="478">
        <f t="shared" si="50"/>
        <v>0</v>
      </c>
      <c r="K152" s="478"/>
      <c r="L152" s="487"/>
      <c r="M152" s="478">
        <f t="shared" si="51"/>
        <v>0</v>
      </c>
      <c r="N152" s="487"/>
      <c r="O152" s="478">
        <f t="shared" si="52"/>
        <v>0</v>
      </c>
      <c r="P152" s="478">
        <f t="shared" si="53"/>
        <v>0</v>
      </c>
    </row>
    <row r="153" spans="2:16">
      <c r="B153" s="160" t="str">
        <f t="shared" si="31"/>
        <v/>
      </c>
      <c r="C153" s="472">
        <f>IF(D93="","-",+C152+1)</f>
        <v>2061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48"/>
        <v>0</v>
      </c>
      <c r="G153" s="485">
        <f t="shared" si="49"/>
        <v>0</v>
      </c>
      <c r="H153" s="486">
        <f t="shared" si="46"/>
        <v>0</v>
      </c>
      <c r="I153" s="542">
        <f t="shared" si="47"/>
        <v>0</v>
      </c>
      <c r="J153" s="478">
        <f t="shared" si="50"/>
        <v>0</v>
      </c>
      <c r="K153" s="478"/>
      <c r="L153" s="487"/>
      <c r="M153" s="478">
        <f t="shared" si="51"/>
        <v>0</v>
      </c>
      <c r="N153" s="487"/>
      <c r="O153" s="478">
        <f t="shared" si="52"/>
        <v>0</v>
      </c>
      <c r="P153" s="478">
        <f t="shared" si="53"/>
        <v>0</v>
      </c>
    </row>
    <row r="154" spans="2:16" ht="13.5" thickBot="1">
      <c r="B154" s="160" t="str">
        <f t="shared" si="31"/>
        <v/>
      </c>
      <c r="C154" s="489">
        <f>IF(D93="","-",+C153+1)</f>
        <v>2062</v>
      </c>
      <c r="D154" s="543">
        <f>IF(F153+SUM(E$99:E153)=D$92,F153,D$92-SUM(E$99:E153))</f>
        <v>0</v>
      </c>
      <c r="E154" s="544">
        <f>IF(+J96&lt;F153,J96,D154)</f>
        <v>0</v>
      </c>
      <c r="F154" s="490">
        <f>+D154-E154</f>
        <v>0</v>
      </c>
      <c r="G154" s="490">
        <f>+(F154+D154)/2</f>
        <v>0</v>
      </c>
      <c r="H154" s="492">
        <f t="shared" ref="H154" si="54">+J$94*G154+E154</f>
        <v>0</v>
      </c>
      <c r="I154" s="545">
        <f t="shared" ref="I154" si="55">+J$95*G154+E154</f>
        <v>0</v>
      </c>
      <c r="J154" s="495">
        <f t="shared" si="50"/>
        <v>0</v>
      </c>
      <c r="K154" s="478"/>
      <c r="L154" s="494"/>
      <c r="M154" s="495">
        <f t="shared" si="51"/>
        <v>0</v>
      </c>
      <c r="N154" s="494"/>
      <c r="O154" s="495">
        <f t="shared" si="52"/>
        <v>0</v>
      </c>
      <c r="P154" s="495">
        <f t="shared" si="53"/>
        <v>0</v>
      </c>
    </row>
    <row r="155" spans="2:16">
      <c r="C155" s="347" t="s">
        <v>77</v>
      </c>
      <c r="D155" s="348"/>
      <c r="E155" s="348">
        <f>SUM(E99:E154)</f>
        <v>84424</v>
      </c>
      <c r="F155" s="348"/>
      <c r="G155" s="348"/>
      <c r="H155" s="348">
        <f>SUM(H99:H154)</f>
        <v>320452.77131116047</v>
      </c>
      <c r="I155" s="348">
        <f>SUM(I99:I154)</f>
        <v>320452.77131116047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148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50" priority="1" stopIfTrue="1" operator="equal">
      <formula>$I$10</formula>
    </cfRule>
  </conditionalFormatting>
  <conditionalFormatting sqref="C99:C154">
    <cfRule type="cellIs" dxfId="4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6">
    <tabColor rgb="FFC00000"/>
  </sheetPr>
  <dimension ref="A1:P162"/>
  <sheetViews>
    <sheetView zoomScaleNormal="100" zoomScaleSheetLayoutView="75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8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5441.6348487910545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5441.6348487910545</v>
      </c>
      <c r="O6" s="233"/>
      <c r="P6" s="233"/>
    </row>
    <row r="7" spans="1:16" ht="13.5" thickBot="1">
      <c r="C7" s="431" t="s">
        <v>46</v>
      </c>
      <c r="D7" s="432" t="s">
        <v>215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87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56133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2006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3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1305.4186046511627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2006</v>
      </c>
      <c r="D17" s="473">
        <v>56133</v>
      </c>
      <c r="E17" s="474">
        <v>752</v>
      </c>
      <c r="F17" s="473">
        <v>55381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2007</v>
      </c>
      <c r="D18" s="479">
        <v>55381</v>
      </c>
      <c r="E18" s="480">
        <v>1002</v>
      </c>
      <c r="F18" s="479">
        <v>54379</v>
      </c>
      <c r="G18" s="480">
        <v>0</v>
      </c>
      <c r="H18" s="481">
        <v>0</v>
      </c>
      <c r="I18" s="475">
        <f t="shared" si="0"/>
        <v>0</v>
      </c>
      <c r="J18" s="475"/>
      <c r="K18" s="476">
        <v>0</v>
      </c>
      <c r="L18" s="478">
        <f t="shared" si="1"/>
        <v>0</v>
      </c>
      <c r="M18" s="476">
        <v>0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/>
      </c>
      <c r="C19" s="472">
        <f>IF(D11="","-",+C18+1)</f>
        <v>2008</v>
      </c>
      <c r="D19" s="479">
        <v>54379</v>
      </c>
      <c r="E19" s="480">
        <v>1002</v>
      </c>
      <c r="F19" s="479">
        <v>53377</v>
      </c>
      <c r="G19" s="480">
        <v>0</v>
      </c>
      <c r="H19" s="481">
        <v>0</v>
      </c>
      <c r="I19" s="475">
        <f t="shared" si="0"/>
        <v>0</v>
      </c>
      <c r="J19" s="475"/>
      <c r="K19" s="476">
        <v>0</v>
      </c>
      <c r="L19" s="478">
        <f t="shared" si="1"/>
        <v>0</v>
      </c>
      <c r="M19" s="476">
        <v>0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4">IF(D20=F19,"","IU")</f>
        <v/>
      </c>
      <c r="C20" s="472">
        <f>IF(D11="","-",+C19+1)</f>
        <v>2009</v>
      </c>
      <c r="D20" s="479">
        <v>53377</v>
      </c>
      <c r="E20" s="480">
        <v>1002</v>
      </c>
      <c r="F20" s="479">
        <v>52375</v>
      </c>
      <c r="G20" s="480">
        <v>0</v>
      </c>
      <c r="H20" s="481">
        <v>0</v>
      </c>
      <c r="I20" s="475">
        <f t="shared" si="0"/>
        <v>0</v>
      </c>
      <c r="J20" s="475"/>
      <c r="K20" s="476">
        <v>0</v>
      </c>
      <c r="L20" s="478">
        <f t="shared" si="1"/>
        <v>0</v>
      </c>
      <c r="M20" s="476">
        <v>0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4"/>
        <v/>
      </c>
      <c r="C21" s="472">
        <f>IF(D11="","-",+C20+1)</f>
        <v>2010</v>
      </c>
      <c r="D21" s="479">
        <v>52375</v>
      </c>
      <c r="E21" s="480">
        <v>1002.375</v>
      </c>
      <c r="F21" s="479">
        <v>51372.625</v>
      </c>
      <c r="G21" s="480">
        <v>8415.2657154769768</v>
      </c>
      <c r="H21" s="481">
        <v>8415.2657154769768</v>
      </c>
      <c r="I21" s="475">
        <f t="shared" si="0"/>
        <v>0</v>
      </c>
      <c r="J21" s="475"/>
      <c r="K21" s="476">
        <f t="shared" ref="K21:K26" si="5">G21</f>
        <v>8415.2657154769768</v>
      </c>
      <c r="L21" s="550">
        <f t="shared" si="1"/>
        <v>0</v>
      </c>
      <c r="M21" s="476">
        <f t="shared" ref="M21:M26" si="6">H21</f>
        <v>8415.2657154769768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si="4"/>
        <v/>
      </c>
      <c r="C22" s="472">
        <f>IF(D11="","-",+C21+1)</f>
        <v>2011</v>
      </c>
      <c r="D22" s="479">
        <v>51372.625</v>
      </c>
      <c r="E22" s="480">
        <v>1100.6470588235295</v>
      </c>
      <c r="F22" s="479">
        <v>50271.977941176468</v>
      </c>
      <c r="G22" s="480">
        <v>8970.3904929935452</v>
      </c>
      <c r="H22" s="481">
        <v>8970.3904929935452</v>
      </c>
      <c r="I22" s="475">
        <f t="shared" si="0"/>
        <v>0</v>
      </c>
      <c r="J22" s="475"/>
      <c r="K22" s="476">
        <f t="shared" si="5"/>
        <v>8970.3904929935452</v>
      </c>
      <c r="L22" s="550">
        <f t="shared" si="1"/>
        <v>0</v>
      </c>
      <c r="M22" s="476">
        <f t="shared" si="6"/>
        <v>8970.3904929935452</v>
      </c>
      <c r="N22" s="478">
        <f t="shared" si="2"/>
        <v>0</v>
      </c>
      <c r="O22" s="478">
        <f t="shared" si="3"/>
        <v>0</v>
      </c>
      <c r="P22" s="243"/>
    </row>
    <row r="23" spans="2:16">
      <c r="B23" s="160" t="str">
        <f t="shared" si="4"/>
        <v/>
      </c>
      <c r="C23" s="472">
        <f>IF(D11="","-",+C22+1)</f>
        <v>2012</v>
      </c>
      <c r="D23" s="479">
        <v>50271.977941176468</v>
      </c>
      <c r="E23" s="480">
        <v>1079.4807692307693</v>
      </c>
      <c r="F23" s="479">
        <v>49192.497171945703</v>
      </c>
      <c r="G23" s="480">
        <v>7927.4076335998161</v>
      </c>
      <c r="H23" s="481">
        <v>7927.4076335998161</v>
      </c>
      <c r="I23" s="475">
        <f t="shared" si="0"/>
        <v>0</v>
      </c>
      <c r="J23" s="475"/>
      <c r="K23" s="476">
        <f t="shared" si="5"/>
        <v>7927.4076335998161</v>
      </c>
      <c r="L23" s="550">
        <f t="shared" si="1"/>
        <v>0</v>
      </c>
      <c r="M23" s="476">
        <f t="shared" si="6"/>
        <v>7927.4076335998161</v>
      </c>
      <c r="N23" s="478">
        <f t="shared" si="2"/>
        <v>0</v>
      </c>
      <c r="O23" s="478">
        <f t="shared" si="3"/>
        <v>0</v>
      </c>
      <c r="P23" s="243"/>
    </row>
    <row r="24" spans="2:16">
      <c r="B24" s="160" t="str">
        <f t="shared" si="4"/>
        <v/>
      </c>
      <c r="C24" s="472">
        <f>IF(D11="","-",+C23+1)</f>
        <v>2013</v>
      </c>
      <c r="D24" s="479">
        <v>49192.497171945703</v>
      </c>
      <c r="E24" s="480">
        <v>1079.4807692307693</v>
      </c>
      <c r="F24" s="479">
        <v>48113.016402714937</v>
      </c>
      <c r="G24" s="480">
        <v>7950.3447729090094</v>
      </c>
      <c r="H24" s="481">
        <v>7950.3447729090094</v>
      </c>
      <c r="I24" s="475">
        <v>0</v>
      </c>
      <c r="J24" s="475"/>
      <c r="K24" s="476">
        <f t="shared" si="5"/>
        <v>7950.3447729090094</v>
      </c>
      <c r="L24" s="550">
        <f t="shared" ref="L24:L29" si="7">IF(K24&lt;&gt;0,+G24-K24,0)</f>
        <v>0</v>
      </c>
      <c r="M24" s="476">
        <f t="shared" si="6"/>
        <v>7950.3447729090094</v>
      </c>
      <c r="N24" s="478">
        <f t="shared" ref="N24:N29" si="8">IF(M24&lt;&gt;0,+H24-M24,0)</f>
        <v>0</v>
      </c>
      <c r="O24" s="478">
        <f t="shared" ref="O24:O29" si="9">+N24-L24</f>
        <v>0</v>
      </c>
      <c r="P24" s="243"/>
    </row>
    <row r="25" spans="2:16">
      <c r="B25" s="160" t="str">
        <f t="shared" si="4"/>
        <v/>
      </c>
      <c r="C25" s="472">
        <f>IF(D11="","-",+C24+1)</f>
        <v>2014</v>
      </c>
      <c r="D25" s="479">
        <v>48113.016402714937</v>
      </c>
      <c r="E25" s="480">
        <v>1079.4807692307693</v>
      </c>
      <c r="F25" s="479">
        <v>47033.535633484171</v>
      </c>
      <c r="G25" s="480">
        <v>7554.0593246775043</v>
      </c>
      <c r="H25" s="481">
        <v>7554.0593246775043</v>
      </c>
      <c r="I25" s="475">
        <v>0</v>
      </c>
      <c r="J25" s="475"/>
      <c r="K25" s="476">
        <f t="shared" si="5"/>
        <v>7554.0593246775043</v>
      </c>
      <c r="L25" s="550">
        <f t="shared" si="7"/>
        <v>0</v>
      </c>
      <c r="M25" s="476">
        <f t="shared" si="6"/>
        <v>7554.0593246775043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4"/>
        <v/>
      </c>
      <c r="C26" s="472">
        <f>IF(D11="","-",+C25+1)</f>
        <v>2015</v>
      </c>
      <c r="D26" s="479">
        <v>47033.535633484171</v>
      </c>
      <c r="E26" s="480">
        <v>1079.4807692307693</v>
      </c>
      <c r="F26" s="479">
        <v>45954.054864253405</v>
      </c>
      <c r="G26" s="480">
        <v>7415.24244849963</v>
      </c>
      <c r="H26" s="481">
        <v>7415.24244849963</v>
      </c>
      <c r="I26" s="475">
        <v>0</v>
      </c>
      <c r="J26" s="475"/>
      <c r="K26" s="476">
        <f t="shared" si="5"/>
        <v>7415.24244849963</v>
      </c>
      <c r="L26" s="550">
        <f t="shared" si="7"/>
        <v>0</v>
      </c>
      <c r="M26" s="476">
        <f t="shared" si="6"/>
        <v>7415.24244849963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4"/>
        <v/>
      </c>
      <c r="C27" s="472">
        <f>IF(D11="","-",+C26+1)</f>
        <v>2016</v>
      </c>
      <c r="D27" s="479">
        <v>45954.054864253405</v>
      </c>
      <c r="E27" s="480">
        <v>1079.4807692307693</v>
      </c>
      <c r="F27" s="479">
        <v>44874.574095022639</v>
      </c>
      <c r="G27" s="480">
        <v>6965.2134846377958</v>
      </c>
      <c r="H27" s="481">
        <v>6965.2134846377958</v>
      </c>
      <c r="I27" s="475">
        <f t="shared" si="0"/>
        <v>0</v>
      </c>
      <c r="J27" s="475"/>
      <c r="K27" s="476">
        <f t="shared" ref="K27:K32" si="10">G27</f>
        <v>6965.2134846377958</v>
      </c>
      <c r="L27" s="550">
        <f t="shared" si="7"/>
        <v>0</v>
      </c>
      <c r="M27" s="476">
        <f t="shared" ref="M27:M32" si="11">H27</f>
        <v>6965.2134846377958</v>
      </c>
      <c r="N27" s="478">
        <f t="shared" si="8"/>
        <v>0</v>
      </c>
      <c r="O27" s="478">
        <f t="shared" si="9"/>
        <v>0</v>
      </c>
      <c r="P27" s="243"/>
    </row>
    <row r="28" spans="2:16">
      <c r="B28" s="160" t="str">
        <f t="shared" si="4"/>
        <v/>
      </c>
      <c r="C28" s="472">
        <f>IF(D11="","-",+C27+1)</f>
        <v>2017</v>
      </c>
      <c r="D28" s="479">
        <v>44874.574095022639</v>
      </c>
      <c r="E28" s="480">
        <v>1220.2826086956522</v>
      </c>
      <c r="F28" s="479">
        <v>43654.291486326983</v>
      </c>
      <c r="G28" s="480">
        <v>6775.7563240948048</v>
      </c>
      <c r="H28" s="481">
        <v>6775.7563240948048</v>
      </c>
      <c r="I28" s="475">
        <f t="shared" si="0"/>
        <v>0</v>
      </c>
      <c r="J28" s="475"/>
      <c r="K28" s="476">
        <f t="shared" si="10"/>
        <v>6775.7563240948048</v>
      </c>
      <c r="L28" s="550">
        <f t="shared" si="7"/>
        <v>0</v>
      </c>
      <c r="M28" s="476">
        <f t="shared" si="11"/>
        <v>6775.7563240948048</v>
      </c>
      <c r="N28" s="478">
        <f t="shared" si="8"/>
        <v>0</v>
      </c>
      <c r="O28" s="478">
        <f t="shared" si="9"/>
        <v>0</v>
      </c>
      <c r="P28" s="243"/>
    </row>
    <row r="29" spans="2:16">
      <c r="B29" s="160" t="str">
        <f t="shared" si="4"/>
        <v/>
      </c>
      <c r="C29" s="472">
        <f>IF(D11="","-",+C28+1)</f>
        <v>2018</v>
      </c>
      <c r="D29" s="479">
        <v>43654.291486326983</v>
      </c>
      <c r="E29" s="480">
        <v>1247.4000000000001</v>
      </c>
      <c r="F29" s="479">
        <v>42406.891486326982</v>
      </c>
      <c r="G29" s="480">
        <v>6986.5540517513546</v>
      </c>
      <c r="H29" s="481">
        <v>6986.5540517513546</v>
      </c>
      <c r="I29" s="475">
        <f t="shared" si="0"/>
        <v>0</v>
      </c>
      <c r="J29" s="475"/>
      <c r="K29" s="476">
        <f t="shared" si="10"/>
        <v>6986.5540517513546</v>
      </c>
      <c r="L29" s="550">
        <f t="shared" si="7"/>
        <v>0</v>
      </c>
      <c r="M29" s="476">
        <f t="shared" si="11"/>
        <v>6986.5540517513546</v>
      </c>
      <c r="N29" s="478">
        <f t="shared" si="8"/>
        <v>0</v>
      </c>
      <c r="O29" s="478">
        <f t="shared" si="9"/>
        <v>0</v>
      </c>
      <c r="P29" s="243"/>
    </row>
    <row r="30" spans="2:16">
      <c r="B30" s="160" t="str">
        <f t="shared" si="4"/>
        <v/>
      </c>
      <c r="C30" s="472">
        <f>IF(D11="","-",+C29+1)</f>
        <v>2019</v>
      </c>
      <c r="D30" s="479">
        <v>42406.891486326982</v>
      </c>
      <c r="E30" s="480">
        <v>1247.4000000000001</v>
      </c>
      <c r="F30" s="479">
        <v>41159.491486326981</v>
      </c>
      <c r="G30" s="480">
        <v>6817.7366611519319</v>
      </c>
      <c r="H30" s="481">
        <v>6817.7366611519319</v>
      </c>
      <c r="I30" s="475">
        <f t="shared" si="0"/>
        <v>0</v>
      </c>
      <c r="J30" s="475"/>
      <c r="K30" s="476">
        <f t="shared" si="10"/>
        <v>6817.7366611519319</v>
      </c>
      <c r="L30" s="550">
        <f t="shared" ref="L30" si="12">IF(K30&lt;&gt;0,+G30-K30,0)</f>
        <v>0</v>
      </c>
      <c r="M30" s="476">
        <f t="shared" si="11"/>
        <v>6817.7366611519319</v>
      </c>
      <c r="N30" s="478">
        <f t="shared" ref="N30" si="13">IF(M30&lt;&gt;0,+H30-M30,0)</f>
        <v>0</v>
      </c>
      <c r="O30" s="478">
        <f t="shared" ref="O30" si="14">+N30-L30</f>
        <v>0</v>
      </c>
      <c r="P30" s="243"/>
    </row>
    <row r="31" spans="2:16">
      <c r="B31" s="160" t="str">
        <f t="shared" si="4"/>
        <v/>
      </c>
      <c r="C31" s="472">
        <f>IF(D11="","-",+C30+1)</f>
        <v>2020</v>
      </c>
      <c r="D31" s="479">
        <v>41159.491486326981</v>
      </c>
      <c r="E31" s="480">
        <v>1336.5</v>
      </c>
      <c r="F31" s="479">
        <v>39822.991486326981</v>
      </c>
      <c r="G31" s="480">
        <v>5709.7475035377865</v>
      </c>
      <c r="H31" s="481">
        <v>5709.7475035377865</v>
      </c>
      <c r="I31" s="475">
        <f t="shared" si="0"/>
        <v>0</v>
      </c>
      <c r="J31" s="475"/>
      <c r="K31" s="476">
        <f t="shared" si="10"/>
        <v>5709.7475035377865</v>
      </c>
      <c r="L31" s="550">
        <f t="shared" ref="L31" si="15">IF(K31&lt;&gt;0,+G31-K31,0)</f>
        <v>0</v>
      </c>
      <c r="M31" s="476">
        <f t="shared" si="11"/>
        <v>5709.7475035377865</v>
      </c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4"/>
        <v>IU</v>
      </c>
      <c r="C32" s="472">
        <f>IF(D11="","-",+C31+1)</f>
        <v>2021</v>
      </c>
      <c r="D32" s="479">
        <v>39667.06648632697</v>
      </c>
      <c r="E32" s="480">
        <v>1305.4186046511627</v>
      </c>
      <c r="F32" s="479">
        <v>38361.64788167581</v>
      </c>
      <c r="G32" s="480">
        <v>5441.6348487910545</v>
      </c>
      <c r="H32" s="481">
        <v>5441.6348487910545</v>
      </c>
      <c r="I32" s="475">
        <f t="shared" si="0"/>
        <v>0</v>
      </c>
      <c r="J32" s="475"/>
      <c r="K32" s="476">
        <f t="shared" si="10"/>
        <v>5441.6348487910545</v>
      </c>
      <c r="L32" s="550">
        <f t="shared" ref="L32" si="16">IF(K32&lt;&gt;0,+G32-K32,0)</f>
        <v>0</v>
      </c>
      <c r="M32" s="476">
        <f t="shared" si="11"/>
        <v>5441.6348487910545</v>
      </c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4"/>
        <v>IU</v>
      </c>
      <c r="C33" s="472">
        <f>IF(D11="","-",+C32+1)</f>
        <v>2022</v>
      </c>
      <c r="D33" s="485">
        <f>IF(F32+SUM(E$17:E32)=D$10,F32,D$10-SUM(E$17:E32))</f>
        <v>38517.572881675806</v>
      </c>
      <c r="E33" s="484">
        <f>IF(+I14&lt;F32,I14,D33)</f>
        <v>1305.4186046511627</v>
      </c>
      <c r="F33" s="485">
        <f t="shared" ref="F33:F48" si="17">+D33-E33</f>
        <v>37212.154277024645</v>
      </c>
      <c r="G33" s="486">
        <f t="shared" ref="G33:G72" si="18">(D33+F33)/2*I$12+E33</f>
        <v>5662.0110430905916</v>
      </c>
      <c r="H33" s="455">
        <f t="shared" ref="H33:H72" si="19">+(D33+F33)/2*I$13+E33</f>
        <v>5662.0110430905916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4"/>
        <v/>
      </c>
      <c r="C34" s="472">
        <f>IF(D11="","-",+C33+1)</f>
        <v>2023</v>
      </c>
      <c r="D34" s="485">
        <f>IF(F33+SUM(E$17:E33)=D$10,F33,D$10-SUM(E$17:E33))</f>
        <v>37212.154277024645</v>
      </c>
      <c r="E34" s="484">
        <f>IF(+I14&lt;F33,I14,D34)</f>
        <v>1305.4186046511627</v>
      </c>
      <c r="F34" s="485">
        <f t="shared" si="17"/>
        <v>35906.735672373485</v>
      </c>
      <c r="G34" s="486">
        <f t="shared" si="18"/>
        <v>5511.8143624633594</v>
      </c>
      <c r="H34" s="455">
        <f t="shared" si="19"/>
        <v>5511.8143624633594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4"/>
        <v/>
      </c>
      <c r="C35" s="472">
        <f>IF(D11="","-",+C34+1)</f>
        <v>2024</v>
      </c>
      <c r="D35" s="485">
        <f>IF(F34+SUM(E$17:E34)=D$10,F34,D$10-SUM(E$17:E34))</f>
        <v>35906.735672373485</v>
      </c>
      <c r="E35" s="484">
        <f>IF(+I14&lt;F34,I14,D35)</f>
        <v>1305.4186046511627</v>
      </c>
      <c r="F35" s="485">
        <f t="shared" si="17"/>
        <v>34601.317067722324</v>
      </c>
      <c r="G35" s="486">
        <f t="shared" si="18"/>
        <v>5361.6176818361255</v>
      </c>
      <c r="H35" s="455">
        <f t="shared" si="19"/>
        <v>5361.6176818361255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4"/>
        <v/>
      </c>
      <c r="C36" s="472">
        <f>IF(D11="","-",+C35+1)</f>
        <v>2025</v>
      </c>
      <c r="D36" s="485">
        <f>IF(F35+SUM(E$17:E35)=D$10,F35,D$10-SUM(E$17:E35))</f>
        <v>34601.317067722324</v>
      </c>
      <c r="E36" s="484">
        <f>IF(+I14&lt;F35,I14,D36)</f>
        <v>1305.4186046511627</v>
      </c>
      <c r="F36" s="485">
        <f t="shared" si="17"/>
        <v>33295.898463071164</v>
      </c>
      <c r="G36" s="486">
        <f t="shared" si="18"/>
        <v>5211.4210012088934</v>
      </c>
      <c r="H36" s="455">
        <f t="shared" si="19"/>
        <v>5211.4210012088934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4"/>
        <v/>
      </c>
      <c r="C37" s="472">
        <f>IF(D11="","-",+C36+1)</f>
        <v>2026</v>
      </c>
      <c r="D37" s="485">
        <f>IF(F36+SUM(E$17:E36)=D$10,F36,D$10-SUM(E$17:E36))</f>
        <v>33295.898463071164</v>
      </c>
      <c r="E37" s="484">
        <f>IF(+I14&lt;F36,I14,D37)</f>
        <v>1305.4186046511627</v>
      </c>
      <c r="F37" s="485">
        <f t="shared" si="17"/>
        <v>31990.47985842</v>
      </c>
      <c r="G37" s="486">
        <f t="shared" si="18"/>
        <v>5061.2243205816612</v>
      </c>
      <c r="H37" s="455">
        <f t="shared" si="19"/>
        <v>5061.2243205816612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565" t="str">
        <f t="shared" si="4"/>
        <v/>
      </c>
      <c r="C38" s="472">
        <f>IF(D11="","-",+C37+1)</f>
        <v>2027</v>
      </c>
      <c r="D38" s="485">
        <f>IF(F37+SUM(E$17:E37)=D$10,F37,D$10-SUM(E$17:E37))</f>
        <v>31990.47985842</v>
      </c>
      <c r="E38" s="484">
        <f>IF(+I14&lt;F37,I14,D38)</f>
        <v>1305.4186046511627</v>
      </c>
      <c r="F38" s="485">
        <f t="shared" si="17"/>
        <v>30685.061253768836</v>
      </c>
      <c r="G38" s="486">
        <f t="shared" si="18"/>
        <v>4911.0276399544273</v>
      </c>
      <c r="H38" s="455">
        <f t="shared" si="19"/>
        <v>4911.0276399544273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4"/>
        <v/>
      </c>
      <c r="C39" s="472">
        <f>IF(D11="","-",+C38+1)</f>
        <v>2028</v>
      </c>
      <c r="D39" s="485">
        <f>IF(F38+SUM(E$17:E38)=D$10,F38,D$10-SUM(E$17:E38))</f>
        <v>30685.061253768836</v>
      </c>
      <c r="E39" s="484">
        <f>IF(+I14&lt;F38,I14,D39)</f>
        <v>1305.4186046511627</v>
      </c>
      <c r="F39" s="485">
        <f t="shared" si="17"/>
        <v>29379.642649117672</v>
      </c>
      <c r="G39" s="486">
        <f t="shared" si="18"/>
        <v>4760.8309593271952</v>
      </c>
      <c r="H39" s="455">
        <f t="shared" si="19"/>
        <v>4760.8309593271952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4"/>
        <v/>
      </c>
      <c r="C40" s="472">
        <f>IF(D11="","-",+C39+1)</f>
        <v>2029</v>
      </c>
      <c r="D40" s="485">
        <f>IF(F39+SUM(E$17:E39)=D$10,F39,D$10-SUM(E$17:E39))</f>
        <v>29379.642649117672</v>
      </c>
      <c r="E40" s="484">
        <f>IF(+I14&lt;F39,I14,D40)</f>
        <v>1305.4186046511627</v>
      </c>
      <c r="F40" s="485">
        <f t="shared" si="17"/>
        <v>28074.224044466508</v>
      </c>
      <c r="G40" s="486">
        <f t="shared" si="18"/>
        <v>4610.6342786999612</v>
      </c>
      <c r="H40" s="455">
        <f t="shared" si="19"/>
        <v>4610.6342786999612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4"/>
        <v/>
      </c>
      <c r="C41" s="472">
        <f>IF(D11="","-",+C40+1)</f>
        <v>2030</v>
      </c>
      <c r="D41" s="485">
        <f>IF(F40+SUM(E$17:E40)=D$10,F40,D$10-SUM(E$17:E40))</f>
        <v>28074.224044466508</v>
      </c>
      <c r="E41" s="484">
        <f>IF(+I14&lt;F40,I14,D41)</f>
        <v>1305.4186046511627</v>
      </c>
      <c r="F41" s="485">
        <f t="shared" si="17"/>
        <v>26768.805439815344</v>
      </c>
      <c r="G41" s="486">
        <f t="shared" si="18"/>
        <v>4460.4375980727291</v>
      </c>
      <c r="H41" s="455">
        <f t="shared" si="19"/>
        <v>4460.4375980727291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4"/>
        <v/>
      </c>
      <c r="C42" s="472">
        <f>IF(D11="","-",+C41+1)</f>
        <v>2031</v>
      </c>
      <c r="D42" s="485">
        <f>IF(F41+SUM(E$17:E41)=D$10,F41,D$10-SUM(E$17:E41))</f>
        <v>26768.805439815344</v>
      </c>
      <c r="E42" s="484">
        <f>IF(+I14&lt;F41,I14,D42)</f>
        <v>1305.4186046511627</v>
      </c>
      <c r="F42" s="485">
        <f t="shared" si="17"/>
        <v>25463.38683516418</v>
      </c>
      <c r="G42" s="486">
        <f t="shared" si="18"/>
        <v>4310.2409174454951</v>
      </c>
      <c r="H42" s="455">
        <f t="shared" si="19"/>
        <v>4310.2409174454951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4"/>
        <v/>
      </c>
      <c r="C43" s="472">
        <f>IF(D11="","-",+C42+1)</f>
        <v>2032</v>
      </c>
      <c r="D43" s="485">
        <f>IF(F42+SUM(E$17:E42)=D$10,F42,D$10-SUM(E$17:E42))</f>
        <v>25463.38683516418</v>
      </c>
      <c r="E43" s="484">
        <f>IF(+I14&lt;F42,I14,D43)</f>
        <v>1305.4186046511627</v>
      </c>
      <c r="F43" s="485">
        <f t="shared" si="17"/>
        <v>24157.968230513015</v>
      </c>
      <c r="G43" s="486">
        <f t="shared" si="18"/>
        <v>4160.044236818263</v>
      </c>
      <c r="H43" s="455">
        <f t="shared" si="19"/>
        <v>4160.044236818263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4"/>
        <v/>
      </c>
      <c r="C44" s="472">
        <f>IF(D11="","-",+C43+1)</f>
        <v>2033</v>
      </c>
      <c r="D44" s="485">
        <f>IF(F43+SUM(E$17:E43)=D$10,F43,D$10-SUM(E$17:E43))</f>
        <v>24157.968230513015</v>
      </c>
      <c r="E44" s="484">
        <f>IF(+I14&lt;F43,I14,D44)</f>
        <v>1305.4186046511627</v>
      </c>
      <c r="F44" s="485">
        <f t="shared" si="17"/>
        <v>22852.549625861851</v>
      </c>
      <c r="G44" s="486">
        <f t="shared" si="18"/>
        <v>4009.84755619103</v>
      </c>
      <c r="H44" s="455">
        <f t="shared" si="19"/>
        <v>4009.84755619103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4"/>
        <v/>
      </c>
      <c r="C45" s="472">
        <f>IF(D11="","-",+C44+1)</f>
        <v>2034</v>
      </c>
      <c r="D45" s="485">
        <f>IF(F44+SUM(E$17:E44)=D$10,F44,D$10-SUM(E$17:E44))</f>
        <v>22852.549625861851</v>
      </c>
      <c r="E45" s="484">
        <f>IF(+I14&lt;F44,I14,D45)</f>
        <v>1305.4186046511627</v>
      </c>
      <c r="F45" s="485">
        <f t="shared" si="17"/>
        <v>21547.131021210687</v>
      </c>
      <c r="G45" s="486">
        <f t="shared" si="18"/>
        <v>3859.6508755637974</v>
      </c>
      <c r="H45" s="455">
        <f t="shared" si="19"/>
        <v>3859.6508755637974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4"/>
        <v/>
      </c>
      <c r="C46" s="472">
        <f>IF(D11="","-",+C45+1)</f>
        <v>2035</v>
      </c>
      <c r="D46" s="485">
        <f>IF(F45+SUM(E$17:E45)=D$10,F45,D$10-SUM(E$17:E45))</f>
        <v>21547.131021210687</v>
      </c>
      <c r="E46" s="484">
        <f>IF(+I14&lt;F45,I14,D46)</f>
        <v>1305.4186046511627</v>
      </c>
      <c r="F46" s="485">
        <f t="shared" si="17"/>
        <v>20241.712416559523</v>
      </c>
      <c r="G46" s="486">
        <f t="shared" si="18"/>
        <v>3709.4541949365639</v>
      </c>
      <c r="H46" s="455">
        <f t="shared" si="19"/>
        <v>3709.4541949365639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4"/>
        <v/>
      </c>
      <c r="C47" s="472">
        <f>IF(D11="","-",+C46+1)</f>
        <v>2036</v>
      </c>
      <c r="D47" s="485">
        <f>IF(F46+SUM(E$17:E46)=D$10,F46,D$10-SUM(E$17:E46))</f>
        <v>20241.712416559523</v>
      </c>
      <c r="E47" s="484">
        <f>IF(+I14&lt;F46,I14,D47)</f>
        <v>1305.4186046511627</v>
      </c>
      <c r="F47" s="485">
        <f t="shared" si="17"/>
        <v>18936.293811908359</v>
      </c>
      <c r="G47" s="486">
        <f t="shared" si="18"/>
        <v>3559.2575143093313</v>
      </c>
      <c r="H47" s="455">
        <f t="shared" si="19"/>
        <v>3559.2575143093313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4"/>
        <v/>
      </c>
      <c r="C48" s="472">
        <f>IF(D11="","-",+C47+1)</f>
        <v>2037</v>
      </c>
      <c r="D48" s="485">
        <f>IF(F47+SUM(E$17:E47)=D$10,F47,D$10-SUM(E$17:E47))</f>
        <v>18936.293811908359</v>
      </c>
      <c r="E48" s="484">
        <f>IF(+I14&lt;F47,I14,D48)</f>
        <v>1305.4186046511627</v>
      </c>
      <c r="F48" s="485">
        <f t="shared" si="17"/>
        <v>17630.875207257195</v>
      </c>
      <c r="G48" s="486">
        <f t="shared" si="18"/>
        <v>3409.0608336820978</v>
      </c>
      <c r="H48" s="455">
        <f t="shared" si="19"/>
        <v>3409.0608336820978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4"/>
        <v/>
      </c>
      <c r="C49" s="472">
        <f>IF(D11="","-",+C48+1)</f>
        <v>2038</v>
      </c>
      <c r="D49" s="485">
        <f>IF(F48+SUM(E$17:E48)=D$10,F48,D$10-SUM(E$17:E48))</f>
        <v>17630.875207257195</v>
      </c>
      <c r="E49" s="484">
        <f>IF(+I14&lt;F48,I14,D49)</f>
        <v>1305.4186046511627</v>
      </c>
      <c r="F49" s="485">
        <f t="shared" ref="F49:F72" si="20">+D49-E49</f>
        <v>16325.456602606033</v>
      </c>
      <c r="G49" s="486">
        <f t="shared" si="18"/>
        <v>3258.8641530548653</v>
      </c>
      <c r="H49" s="455">
        <f t="shared" si="19"/>
        <v>3258.8641530548653</v>
      </c>
      <c r="I49" s="475">
        <f t="shared" ref="I49:I72" si="21">H49-G49</f>
        <v>0</v>
      </c>
      <c r="J49" s="475"/>
      <c r="K49" s="487"/>
      <c r="L49" s="478">
        <f t="shared" ref="L49:L72" si="22">IF(K49&lt;&gt;0,+G49-K49,0)</f>
        <v>0</v>
      </c>
      <c r="M49" s="487"/>
      <c r="N49" s="478">
        <f t="shared" ref="N49:N72" si="23">IF(M49&lt;&gt;0,+H49-M49,0)</f>
        <v>0</v>
      </c>
      <c r="O49" s="478">
        <f t="shared" ref="O49:O72" si="24">+N49-L49</f>
        <v>0</v>
      </c>
      <c r="P49" s="243"/>
    </row>
    <row r="50" spans="2:16">
      <c r="B50" s="160" t="str">
        <f t="shared" si="4"/>
        <v/>
      </c>
      <c r="C50" s="472">
        <f>IF(D11="","-",+C49+1)</f>
        <v>2039</v>
      </c>
      <c r="D50" s="485">
        <f>IF(F49+SUM(E$17:E49)=D$10,F49,D$10-SUM(E$17:E49))</f>
        <v>16325.456602606033</v>
      </c>
      <c r="E50" s="484">
        <f>IF(+I14&lt;F49,I14,D50)</f>
        <v>1305.4186046511627</v>
      </c>
      <c r="F50" s="485">
        <f t="shared" si="20"/>
        <v>15020.037997954871</v>
      </c>
      <c r="G50" s="486">
        <f t="shared" si="18"/>
        <v>3108.6674724276327</v>
      </c>
      <c r="H50" s="455">
        <f t="shared" si="19"/>
        <v>3108.6674724276327</v>
      </c>
      <c r="I50" s="475">
        <f t="shared" si="21"/>
        <v>0</v>
      </c>
      <c r="J50" s="475"/>
      <c r="K50" s="487"/>
      <c r="L50" s="478">
        <f t="shared" si="22"/>
        <v>0</v>
      </c>
      <c r="M50" s="487"/>
      <c r="N50" s="478">
        <f t="shared" si="23"/>
        <v>0</v>
      </c>
      <c r="O50" s="478">
        <f t="shared" si="24"/>
        <v>0</v>
      </c>
      <c r="P50" s="243"/>
    </row>
    <row r="51" spans="2:16">
      <c r="B51" s="160" t="str">
        <f t="shared" si="4"/>
        <v/>
      </c>
      <c r="C51" s="472">
        <f>IF(D11="","-",+C50+1)</f>
        <v>2040</v>
      </c>
      <c r="D51" s="485">
        <f>IF(F50+SUM(E$17:E50)=D$10,F50,D$10-SUM(E$17:E50))</f>
        <v>15020.037997954871</v>
      </c>
      <c r="E51" s="484">
        <f>IF(+I14&lt;F50,I14,D51)</f>
        <v>1305.4186046511627</v>
      </c>
      <c r="F51" s="485">
        <f t="shared" si="20"/>
        <v>13714.619393303708</v>
      </c>
      <c r="G51" s="486">
        <f t="shared" si="18"/>
        <v>2958.4707918003996</v>
      </c>
      <c r="H51" s="455">
        <f t="shared" si="19"/>
        <v>2958.4707918003996</v>
      </c>
      <c r="I51" s="475">
        <f t="shared" si="21"/>
        <v>0</v>
      </c>
      <c r="J51" s="475"/>
      <c r="K51" s="487"/>
      <c r="L51" s="478">
        <f t="shared" si="22"/>
        <v>0</v>
      </c>
      <c r="M51" s="487"/>
      <c r="N51" s="478">
        <f t="shared" si="23"/>
        <v>0</v>
      </c>
      <c r="O51" s="478">
        <f t="shared" si="24"/>
        <v>0</v>
      </c>
      <c r="P51" s="243"/>
    </row>
    <row r="52" spans="2:16">
      <c r="B52" s="160" t="str">
        <f t="shared" si="4"/>
        <v/>
      </c>
      <c r="C52" s="472">
        <f>IF(D11="","-",+C51+1)</f>
        <v>2041</v>
      </c>
      <c r="D52" s="485">
        <f>IF(F51+SUM(E$17:E51)=D$10,F51,D$10-SUM(E$17:E51))</f>
        <v>13714.619393303708</v>
      </c>
      <c r="E52" s="484">
        <f>IF(+I14&lt;F51,I14,D52)</f>
        <v>1305.4186046511627</v>
      </c>
      <c r="F52" s="485">
        <f t="shared" si="20"/>
        <v>12409.200788652546</v>
      </c>
      <c r="G52" s="486">
        <f t="shared" si="18"/>
        <v>2808.2741111731666</v>
      </c>
      <c r="H52" s="455">
        <f t="shared" si="19"/>
        <v>2808.2741111731666</v>
      </c>
      <c r="I52" s="475">
        <f t="shared" si="21"/>
        <v>0</v>
      </c>
      <c r="J52" s="475"/>
      <c r="K52" s="487"/>
      <c r="L52" s="478">
        <f t="shared" si="22"/>
        <v>0</v>
      </c>
      <c r="M52" s="487"/>
      <c r="N52" s="478">
        <f t="shared" si="23"/>
        <v>0</v>
      </c>
      <c r="O52" s="478">
        <f t="shared" si="24"/>
        <v>0</v>
      </c>
      <c r="P52" s="243"/>
    </row>
    <row r="53" spans="2:16">
      <c r="B53" s="160" t="str">
        <f t="shared" si="4"/>
        <v/>
      </c>
      <c r="C53" s="472">
        <f>IF(D11="","-",+C52+1)</f>
        <v>2042</v>
      </c>
      <c r="D53" s="485">
        <f>IF(F52+SUM(E$17:E52)=D$10,F52,D$10-SUM(E$17:E52))</f>
        <v>12409.200788652546</v>
      </c>
      <c r="E53" s="484">
        <f>IF(+I14&lt;F52,I14,D53)</f>
        <v>1305.4186046511627</v>
      </c>
      <c r="F53" s="485">
        <f t="shared" si="20"/>
        <v>11103.782184001384</v>
      </c>
      <c r="G53" s="486">
        <f t="shared" si="18"/>
        <v>2658.0774305459345</v>
      </c>
      <c r="H53" s="455">
        <f t="shared" si="19"/>
        <v>2658.0774305459345</v>
      </c>
      <c r="I53" s="475">
        <f t="shared" si="21"/>
        <v>0</v>
      </c>
      <c r="J53" s="475"/>
      <c r="K53" s="487"/>
      <c r="L53" s="478">
        <f t="shared" si="22"/>
        <v>0</v>
      </c>
      <c r="M53" s="487"/>
      <c r="N53" s="478">
        <f t="shared" si="23"/>
        <v>0</v>
      </c>
      <c r="O53" s="478">
        <f t="shared" si="24"/>
        <v>0</v>
      </c>
      <c r="P53" s="243"/>
    </row>
    <row r="54" spans="2:16">
      <c r="B54" s="160" t="str">
        <f t="shared" si="4"/>
        <v/>
      </c>
      <c r="C54" s="472">
        <f>IF(D11="","-",+C53+1)</f>
        <v>2043</v>
      </c>
      <c r="D54" s="485">
        <f>IF(F53+SUM(E$17:E53)=D$10,F53,D$10-SUM(E$17:E53))</f>
        <v>11103.782184001384</v>
      </c>
      <c r="E54" s="484">
        <f>IF(+I14&lt;F53,I14,D54)</f>
        <v>1305.4186046511627</v>
      </c>
      <c r="F54" s="485">
        <f t="shared" si="20"/>
        <v>9798.3635793502217</v>
      </c>
      <c r="G54" s="486">
        <f t="shared" si="18"/>
        <v>2507.8807499187014</v>
      </c>
      <c r="H54" s="455">
        <f t="shared" si="19"/>
        <v>2507.8807499187014</v>
      </c>
      <c r="I54" s="475">
        <f t="shared" si="21"/>
        <v>0</v>
      </c>
      <c r="J54" s="475"/>
      <c r="K54" s="487"/>
      <c r="L54" s="478">
        <f t="shared" si="22"/>
        <v>0</v>
      </c>
      <c r="M54" s="487"/>
      <c r="N54" s="478">
        <f t="shared" si="23"/>
        <v>0</v>
      </c>
      <c r="O54" s="478">
        <f t="shared" si="24"/>
        <v>0</v>
      </c>
      <c r="P54" s="243"/>
    </row>
    <row r="55" spans="2:16">
      <c r="B55" s="160" t="str">
        <f t="shared" si="4"/>
        <v/>
      </c>
      <c r="C55" s="472">
        <f>IF(D11="","-",+C54+1)</f>
        <v>2044</v>
      </c>
      <c r="D55" s="485">
        <f>IF(F54+SUM(E$17:E54)=D$10,F54,D$10-SUM(E$17:E54))</f>
        <v>9798.3635793502217</v>
      </c>
      <c r="E55" s="484">
        <f>IF(+I14&lt;F54,I14,D55)</f>
        <v>1305.4186046511627</v>
      </c>
      <c r="F55" s="485">
        <f t="shared" si="20"/>
        <v>8492.9449746990595</v>
      </c>
      <c r="G55" s="486">
        <f t="shared" si="18"/>
        <v>2357.6840692914689</v>
      </c>
      <c r="H55" s="455">
        <f t="shared" si="19"/>
        <v>2357.6840692914689</v>
      </c>
      <c r="I55" s="475">
        <f t="shared" si="21"/>
        <v>0</v>
      </c>
      <c r="J55" s="475"/>
      <c r="K55" s="487"/>
      <c r="L55" s="478">
        <f t="shared" si="22"/>
        <v>0</v>
      </c>
      <c r="M55" s="487"/>
      <c r="N55" s="478">
        <f t="shared" si="23"/>
        <v>0</v>
      </c>
      <c r="O55" s="478">
        <f t="shared" si="24"/>
        <v>0</v>
      </c>
      <c r="P55" s="243"/>
    </row>
    <row r="56" spans="2:16">
      <c r="B56" s="160" t="str">
        <f t="shared" si="4"/>
        <v/>
      </c>
      <c r="C56" s="472">
        <f>IF(D11="","-",+C55+1)</f>
        <v>2045</v>
      </c>
      <c r="D56" s="485">
        <f>IF(F55+SUM(E$17:E55)=D$10,F55,D$10-SUM(E$17:E55))</f>
        <v>8492.9449746990595</v>
      </c>
      <c r="E56" s="484">
        <f>IF(+I14&lt;F55,I14,D56)</f>
        <v>1305.4186046511627</v>
      </c>
      <c r="F56" s="485">
        <f t="shared" si="20"/>
        <v>7187.5263700478972</v>
      </c>
      <c r="G56" s="486">
        <f t="shared" si="18"/>
        <v>2207.4873886642358</v>
      </c>
      <c r="H56" s="455">
        <f t="shared" si="19"/>
        <v>2207.4873886642358</v>
      </c>
      <c r="I56" s="475">
        <f t="shared" si="21"/>
        <v>0</v>
      </c>
      <c r="J56" s="475"/>
      <c r="K56" s="487"/>
      <c r="L56" s="478">
        <f t="shared" si="22"/>
        <v>0</v>
      </c>
      <c r="M56" s="487"/>
      <c r="N56" s="478">
        <f t="shared" si="23"/>
        <v>0</v>
      </c>
      <c r="O56" s="478">
        <f t="shared" si="24"/>
        <v>0</v>
      </c>
      <c r="P56" s="243"/>
    </row>
    <row r="57" spans="2:16">
      <c r="B57" s="160" t="str">
        <f t="shared" si="4"/>
        <v/>
      </c>
      <c r="C57" s="472">
        <f>IF(D11="","-",+C56+1)</f>
        <v>2046</v>
      </c>
      <c r="D57" s="485">
        <f>IF(F56+SUM(E$17:E56)=D$10,F56,D$10-SUM(E$17:E56))</f>
        <v>7187.5263700478972</v>
      </c>
      <c r="E57" s="484">
        <f>IF(+I14&lt;F56,I14,D57)</f>
        <v>1305.4186046511627</v>
      </c>
      <c r="F57" s="485">
        <f t="shared" si="20"/>
        <v>5882.107765396735</v>
      </c>
      <c r="G57" s="486">
        <f t="shared" si="18"/>
        <v>2057.2907080370032</v>
      </c>
      <c r="H57" s="455">
        <f t="shared" si="19"/>
        <v>2057.2907080370032</v>
      </c>
      <c r="I57" s="475">
        <f t="shared" si="21"/>
        <v>0</v>
      </c>
      <c r="J57" s="475"/>
      <c r="K57" s="487"/>
      <c r="L57" s="478">
        <f t="shared" si="22"/>
        <v>0</v>
      </c>
      <c r="M57" s="487"/>
      <c r="N57" s="478">
        <f t="shared" si="23"/>
        <v>0</v>
      </c>
      <c r="O57" s="478">
        <f t="shared" si="24"/>
        <v>0</v>
      </c>
      <c r="P57" s="243"/>
    </row>
    <row r="58" spans="2:16">
      <c r="B58" s="160" t="str">
        <f t="shared" si="4"/>
        <v/>
      </c>
      <c r="C58" s="472">
        <f>IF(D11="","-",+C57+1)</f>
        <v>2047</v>
      </c>
      <c r="D58" s="485">
        <f>IF(F57+SUM(E$17:E57)=D$10,F57,D$10-SUM(E$17:E57))</f>
        <v>5882.107765396735</v>
      </c>
      <c r="E58" s="484">
        <f>IF(+I14&lt;F57,I14,D58)</f>
        <v>1305.4186046511627</v>
      </c>
      <c r="F58" s="485">
        <f t="shared" si="20"/>
        <v>4576.6891607455727</v>
      </c>
      <c r="G58" s="486">
        <f t="shared" si="18"/>
        <v>1907.0940274097704</v>
      </c>
      <c r="H58" s="455">
        <f t="shared" si="19"/>
        <v>1907.0940274097704</v>
      </c>
      <c r="I58" s="475">
        <f t="shared" si="21"/>
        <v>0</v>
      </c>
      <c r="J58" s="475"/>
      <c r="K58" s="487"/>
      <c r="L58" s="478">
        <f t="shared" si="22"/>
        <v>0</v>
      </c>
      <c r="M58" s="487"/>
      <c r="N58" s="478">
        <f t="shared" si="23"/>
        <v>0</v>
      </c>
      <c r="O58" s="478">
        <f t="shared" si="24"/>
        <v>0</v>
      </c>
      <c r="P58" s="243"/>
    </row>
    <row r="59" spans="2:16">
      <c r="B59" s="160" t="str">
        <f t="shared" si="4"/>
        <v/>
      </c>
      <c r="C59" s="472">
        <f>IF(D11="","-",+C58+1)</f>
        <v>2048</v>
      </c>
      <c r="D59" s="485">
        <f>IF(F58+SUM(E$17:E58)=D$10,F58,D$10-SUM(E$17:E58))</f>
        <v>4576.6891607455727</v>
      </c>
      <c r="E59" s="484">
        <f>IF(+I14&lt;F58,I14,D59)</f>
        <v>1305.4186046511627</v>
      </c>
      <c r="F59" s="485">
        <f t="shared" si="20"/>
        <v>3271.27055609441</v>
      </c>
      <c r="G59" s="486">
        <f t="shared" si="18"/>
        <v>1756.8973467825376</v>
      </c>
      <c r="H59" s="455">
        <f t="shared" si="19"/>
        <v>1756.8973467825376</v>
      </c>
      <c r="I59" s="475">
        <f t="shared" si="21"/>
        <v>0</v>
      </c>
      <c r="J59" s="475"/>
      <c r="K59" s="487"/>
      <c r="L59" s="478">
        <f t="shared" si="22"/>
        <v>0</v>
      </c>
      <c r="M59" s="487"/>
      <c r="N59" s="478">
        <f t="shared" si="23"/>
        <v>0</v>
      </c>
      <c r="O59" s="478">
        <f t="shared" si="24"/>
        <v>0</v>
      </c>
      <c r="P59" s="243"/>
    </row>
    <row r="60" spans="2:16">
      <c r="B60" s="160" t="str">
        <f t="shared" si="4"/>
        <v/>
      </c>
      <c r="C60" s="472">
        <f>IF(D11="","-",+C59+1)</f>
        <v>2049</v>
      </c>
      <c r="D60" s="485">
        <f>IF(F59+SUM(E$17:E59)=D$10,F59,D$10-SUM(E$17:E59))</f>
        <v>3271.27055609441</v>
      </c>
      <c r="E60" s="484">
        <f>IF(+I14&lt;F59,I14,D60)</f>
        <v>1305.4186046511627</v>
      </c>
      <c r="F60" s="485">
        <f t="shared" si="20"/>
        <v>1965.8519514432473</v>
      </c>
      <c r="G60" s="486">
        <f t="shared" si="18"/>
        <v>1606.7006661553048</v>
      </c>
      <c r="H60" s="455">
        <f t="shared" si="19"/>
        <v>1606.7006661553048</v>
      </c>
      <c r="I60" s="475">
        <f t="shared" si="21"/>
        <v>0</v>
      </c>
      <c r="J60" s="475"/>
      <c r="K60" s="487"/>
      <c r="L60" s="478">
        <f t="shared" si="22"/>
        <v>0</v>
      </c>
      <c r="M60" s="487"/>
      <c r="N60" s="478">
        <f t="shared" si="23"/>
        <v>0</v>
      </c>
      <c r="O60" s="478">
        <f t="shared" si="24"/>
        <v>0</v>
      </c>
      <c r="P60" s="243"/>
    </row>
    <row r="61" spans="2:16">
      <c r="B61" s="160" t="str">
        <f t="shared" si="4"/>
        <v/>
      </c>
      <c r="C61" s="472">
        <f>IF(D11="","-",+C60+1)</f>
        <v>2050</v>
      </c>
      <c r="D61" s="485">
        <f>IF(F60+SUM(E$17:E60)=D$10,F60,D$10-SUM(E$17:E60))</f>
        <v>1965.8519514432473</v>
      </c>
      <c r="E61" s="484">
        <f>IF(+I14&lt;F60,I14,D61)</f>
        <v>1305.4186046511627</v>
      </c>
      <c r="F61" s="485">
        <f t="shared" si="20"/>
        <v>660.43334679208465</v>
      </c>
      <c r="G61" s="486">
        <f t="shared" si="18"/>
        <v>1456.503985528072</v>
      </c>
      <c r="H61" s="455">
        <f t="shared" si="19"/>
        <v>1456.503985528072</v>
      </c>
      <c r="I61" s="475">
        <f t="shared" si="21"/>
        <v>0</v>
      </c>
      <c r="J61" s="475"/>
      <c r="K61" s="487"/>
      <c r="L61" s="478">
        <f t="shared" si="22"/>
        <v>0</v>
      </c>
      <c r="M61" s="487"/>
      <c r="N61" s="478">
        <f t="shared" si="23"/>
        <v>0</v>
      </c>
      <c r="O61" s="478">
        <f t="shared" si="24"/>
        <v>0</v>
      </c>
      <c r="P61" s="243"/>
    </row>
    <row r="62" spans="2:16">
      <c r="B62" s="160" t="str">
        <f t="shared" si="4"/>
        <v/>
      </c>
      <c r="C62" s="472">
        <f>IF(D11="","-",+C61+1)</f>
        <v>2051</v>
      </c>
      <c r="D62" s="485">
        <f>IF(F61+SUM(E$17:E61)=D$10,F61,D$10-SUM(E$17:E61))</f>
        <v>660.43334679208465</v>
      </c>
      <c r="E62" s="484">
        <f>IF(+I14&lt;F61,I14,D62)</f>
        <v>660.43334679208465</v>
      </c>
      <c r="F62" s="485">
        <f t="shared" si="20"/>
        <v>0</v>
      </c>
      <c r="G62" s="486">
        <f t="shared" si="18"/>
        <v>698.42686707373116</v>
      </c>
      <c r="H62" s="455">
        <f t="shared" si="19"/>
        <v>698.42686707373116</v>
      </c>
      <c r="I62" s="475">
        <f t="shared" si="21"/>
        <v>0</v>
      </c>
      <c r="J62" s="475"/>
      <c r="K62" s="487"/>
      <c r="L62" s="478">
        <f t="shared" si="22"/>
        <v>0</v>
      </c>
      <c r="M62" s="487"/>
      <c r="N62" s="478">
        <f t="shared" si="23"/>
        <v>0</v>
      </c>
      <c r="O62" s="478">
        <f t="shared" si="24"/>
        <v>0</v>
      </c>
      <c r="P62" s="243"/>
    </row>
    <row r="63" spans="2:16">
      <c r="B63" s="565" t="str">
        <f t="shared" si="4"/>
        <v/>
      </c>
      <c r="C63" s="472">
        <f>IF(D11="","-",+C62+1)</f>
        <v>2052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6">
        <f t="shared" si="18"/>
        <v>0</v>
      </c>
      <c r="H63" s="455">
        <f t="shared" si="19"/>
        <v>0</v>
      </c>
      <c r="I63" s="475">
        <f t="shared" si="21"/>
        <v>0</v>
      </c>
      <c r="J63" s="475"/>
      <c r="K63" s="487"/>
      <c r="L63" s="478">
        <f t="shared" si="22"/>
        <v>0</v>
      </c>
      <c r="M63" s="487"/>
      <c r="N63" s="478">
        <f t="shared" si="23"/>
        <v>0</v>
      </c>
      <c r="O63" s="478">
        <f t="shared" si="24"/>
        <v>0</v>
      </c>
      <c r="P63" s="243"/>
    </row>
    <row r="64" spans="2:16">
      <c r="B64" s="160" t="str">
        <f t="shared" si="4"/>
        <v/>
      </c>
      <c r="C64" s="472">
        <f>IF(D11="","-",+C63+1)</f>
        <v>2053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6">
        <f t="shared" si="18"/>
        <v>0</v>
      </c>
      <c r="H64" s="455">
        <f t="shared" si="19"/>
        <v>0</v>
      </c>
      <c r="I64" s="475">
        <f t="shared" si="21"/>
        <v>0</v>
      </c>
      <c r="J64" s="475"/>
      <c r="K64" s="487"/>
      <c r="L64" s="478">
        <f t="shared" si="22"/>
        <v>0</v>
      </c>
      <c r="M64" s="487"/>
      <c r="N64" s="478">
        <f t="shared" si="23"/>
        <v>0</v>
      </c>
      <c r="O64" s="478">
        <f t="shared" si="24"/>
        <v>0</v>
      </c>
      <c r="P64" s="243"/>
    </row>
    <row r="65" spans="2:16">
      <c r="B65" s="160" t="str">
        <f t="shared" si="4"/>
        <v/>
      </c>
      <c r="C65" s="472">
        <f>IF(D11="","-",+C64+1)</f>
        <v>2054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6">
        <f t="shared" si="18"/>
        <v>0</v>
      </c>
      <c r="H65" s="455">
        <f t="shared" si="19"/>
        <v>0</v>
      </c>
      <c r="I65" s="475">
        <f t="shared" si="21"/>
        <v>0</v>
      </c>
      <c r="J65" s="475"/>
      <c r="K65" s="487"/>
      <c r="L65" s="478">
        <f t="shared" si="22"/>
        <v>0</v>
      </c>
      <c r="M65" s="487"/>
      <c r="N65" s="478">
        <f t="shared" si="23"/>
        <v>0</v>
      </c>
      <c r="O65" s="478">
        <f t="shared" si="24"/>
        <v>0</v>
      </c>
      <c r="P65" s="243"/>
    </row>
    <row r="66" spans="2:16">
      <c r="B66" s="160" t="str">
        <f t="shared" si="4"/>
        <v/>
      </c>
      <c r="C66" s="472">
        <f>IF(D11="","-",+C65+1)</f>
        <v>2055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6">
        <f t="shared" si="18"/>
        <v>0</v>
      </c>
      <c r="H66" s="455">
        <f t="shared" si="19"/>
        <v>0</v>
      </c>
      <c r="I66" s="475">
        <f t="shared" si="21"/>
        <v>0</v>
      </c>
      <c r="J66" s="475"/>
      <c r="K66" s="487"/>
      <c r="L66" s="478">
        <f t="shared" si="22"/>
        <v>0</v>
      </c>
      <c r="M66" s="487"/>
      <c r="N66" s="478">
        <f t="shared" si="23"/>
        <v>0</v>
      </c>
      <c r="O66" s="478">
        <f t="shared" si="24"/>
        <v>0</v>
      </c>
      <c r="P66" s="243"/>
    </row>
    <row r="67" spans="2:16">
      <c r="B67" s="160" t="str">
        <f t="shared" si="4"/>
        <v/>
      </c>
      <c r="C67" s="472">
        <f>IF(D11="","-",+C66+1)</f>
        <v>2056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6">
        <f t="shared" si="18"/>
        <v>0</v>
      </c>
      <c r="H67" s="455">
        <f t="shared" si="19"/>
        <v>0</v>
      </c>
      <c r="I67" s="475">
        <f t="shared" si="21"/>
        <v>0</v>
      </c>
      <c r="J67" s="475"/>
      <c r="K67" s="487"/>
      <c r="L67" s="478">
        <f t="shared" si="22"/>
        <v>0</v>
      </c>
      <c r="M67" s="487"/>
      <c r="N67" s="478">
        <f t="shared" si="23"/>
        <v>0</v>
      </c>
      <c r="O67" s="478">
        <f t="shared" si="24"/>
        <v>0</v>
      </c>
      <c r="P67" s="243"/>
    </row>
    <row r="68" spans="2:16">
      <c r="B68" s="160" t="str">
        <f t="shared" si="4"/>
        <v/>
      </c>
      <c r="C68" s="472">
        <f>IF(D11="","-",+C67+1)</f>
        <v>2057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6">
        <f t="shared" si="18"/>
        <v>0</v>
      </c>
      <c r="H68" s="455">
        <f t="shared" si="19"/>
        <v>0</v>
      </c>
      <c r="I68" s="475">
        <f t="shared" si="21"/>
        <v>0</v>
      </c>
      <c r="J68" s="475"/>
      <c r="K68" s="487"/>
      <c r="L68" s="478">
        <f t="shared" si="22"/>
        <v>0</v>
      </c>
      <c r="M68" s="487"/>
      <c r="N68" s="478">
        <f t="shared" si="23"/>
        <v>0</v>
      </c>
      <c r="O68" s="478">
        <f t="shared" si="24"/>
        <v>0</v>
      </c>
      <c r="P68" s="243"/>
    </row>
    <row r="69" spans="2:16">
      <c r="B69" s="160" t="str">
        <f t="shared" si="4"/>
        <v/>
      </c>
      <c r="C69" s="472">
        <f>IF(D11="","-",+C68+1)</f>
        <v>2058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6">
        <f t="shared" si="18"/>
        <v>0</v>
      </c>
      <c r="H69" s="455">
        <f t="shared" si="19"/>
        <v>0</v>
      </c>
      <c r="I69" s="475">
        <f t="shared" si="21"/>
        <v>0</v>
      </c>
      <c r="J69" s="475"/>
      <c r="K69" s="487"/>
      <c r="L69" s="478">
        <f t="shared" si="22"/>
        <v>0</v>
      </c>
      <c r="M69" s="487"/>
      <c r="N69" s="478">
        <f t="shared" si="23"/>
        <v>0</v>
      </c>
      <c r="O69" s="478">
        <f t="shared" si="24"/>
        <v>0</v>
      </c>
      <c r="P69" s="243"/>
    </row>
    <row r="70" spans="2:16">
      <c r="B70" s="160" t="str">
        <f t="shared" si="4"/>
        <v/>
      </c>
      <c r="C70" s="472">
        <f>IF(D11="","-",+C69+1)</f>
        <v>2059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6">
        <f t="shared" si="18"/>
        <v>0</v>
      </c>
      <c r="H70" s="455">
        <f t="shared" si="19"/>
        <v>0</v>
      </c>
      <c r="I70" s="475">
        <f t="shared" si="21"/>
        <v>0</v>
      </c>
      <c r="J70" s="475"/>
      <c r="K70" s="487"/>
      <c r="L70" s="478">
        <f t="shared" si="22"/>
        <v>0</v>
      </c>
      <c r="M70" s="487"/>
      <c r="N70" s="478">
        <f t="shared" si="23"/>
        <v>0</v>
      </c>
      <c r="O70" s="478">
        <f t="shared" si="24"/>
        <v>0</v>
      </c>
      <c r="P70" s="243"/>
    </row>
    <row r="71" spans="2:16">
      <c r="B71" s="160" t="str">
        <f t="shared" si="4"/>
        <v/>
      </c>
      <c r="C71" s="472">
        <f>IF(D11="","-",+C70+1)</f>
        <v>2060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6">
        <f t="shared" si="18"/>
        <v>0</v>
      </c>
      <c r="H71" s="455">
        <f t="shared" si="19"/>
        <v>0</v>
      </c>
      <c r="I71" s="475">
        <f t="shared" si="21"/>
        <v>0</v>
      </c>
      <c r="J71" s="475"/>
      <c r="K71" s="487"/>
      <c r="L71" s="478">
        <f t="shared" si="22"/>
        <v>0</v>
      </c>
      <c r="M71" s="487"/>
      <c r="N71" s="478">
        <f t="shared" si="23"/>
        <v>0</v>
      </c>
      <c r="O71" s="478">
        <f t="shared" si="24"/>
        <v>0</v>
      </c>
      <c r="P71" s="243"/>
    </row>
    <row r="72" spans="2:16" ht="13.5" thickBot="1">
      <c r="B72" s="160" t="str">
        <f t="shared" si="4"/>
        <v/>
      </c>
      <c r="C72" s="489">
        <f>IF(D11="","-",+C71+1)</f>
        <v>2061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0">
        <f t="shared" si="18"/>
        <v>0</v>
      </c>
      <c r="H72" s="490">
        <f t="shared" si="19"/>
        <v>0</v>
      </c>
      <c r="I72" s="493">
        <f t="shared" si="21"/>
        <v>0</v>
      </c>
      <c r="J72" s="475"/>
      <c r="K72" s="494"/>
      <c r="L72" s="495">
        <f t="shared" si="22"/>
        <v>0</v>
      </c>
      <c r="M72" s="494"/>
      <c r="N72" s="495">
        <f t="shared" si="23"/>
        <v>0</v>
      </c>
      <c r="O72" s="495">
        <f t="shared" si="24"/>
        <v>0</v>
      </c>
      <c r="P72" s="243"/>
    </row>
    <row r="73" spans="2:16">
      <c r="C73" s="347" t="s">
        <v>77</v>
      </c>
      <c r="D73" s="348"/>
      <c r="E73" s="348">
        <f>SUM(E17:E72)</f>
        <v>56132.999999999971</v>
      </c>
      <c r="F73" s="348"/>
      <c r="G73" s="348">
        <f>SUM(G17:G72)</f>
        <v>190846.24804416558</v>
      </c>
      <c r="H73" s="348">
        <f>SUM(H17:H72)</f>
        <v>190846.24804416558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8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5441.6348487910545</v>
      </c>
      <c r="N87" s="508">
        <f>IF(J92&lt;D11,0,VLOOKUP(J92,C17:O72,11))</f>
        <v>5441.6348487910545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5853.9722481455983</v>
      </c>
      <c r="N88" s="512">
        <f>IF(J92&lt;D11,0,VLOOKUP(J92,C99:P154,7))</f>
        <v>5853.9722481455983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Weleetka &amp; Okmulgee Wavetrap replacement 81-805*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412.33739935454378</v>
      </c>
      <c r="N89" s="517">
        <f>+N88-N87</f>
        <v>412.33739935454378</v>
      </c>
      <c r="O89" s="518">
        <f>+O88-O87</f>
        <v>0</v>
      </c>
      <c r="P89" s="233"/>
    </row>
    <row r="90" spans="1:16" ht="13.5" thickBot="1">
      <c r="C90" s="496"/>
      <c r="D90" s="519" t="str">
        <f>D8</f>
        <v>DOES NOT MEET SPP $100,000 MINIMUM INVESTMENT FOR REGIONAL BPU SHARING.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TP2005046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56133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2006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3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1369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2006</v>
      </c>
      <c r="D99" s="473">
        <v>0</v>
      </c>
      <c r="E99" s="480">
        <v>0</v>
      </c>
      <c r="F99" s="479">
        <v>56133</v>
      </c>
      <c r="G99" s="537">
        <v>28067</v>
      </c>
      <c r="H99" s="538">
        <v>0</v>
      </c>
      <c r="I99" s="539">
        <v>0</v>
      </c>
      <c r="J99" s="478">
        <f t="shared" ref="J99:J130" si="25">+I99-H99</f>
        <v>0</v>
      </c>
      <c r="K99" s="478"/>
      <c r="L99" s="554">
        <v>0</v>
      </c>
      <c r="M99" s="477">
        <f t="shared" ref="M99:M130" si="26">IF(L99&lt;&gt;0,+H99-L99,0)</f>
        <v>0</v>
      </c>
      <c r="N99" s="554">
        <v>0</v>
      </c>
      <c r="O99" s="477">
        <f t="shared" ref="O99:O130" si="27">IF(N99&lt;&gt;0,+I99-N99,0)</f>
        <v>0</v>
      </c>
      <c r="P99" s="477">
        <f t="shared" ref="P99:P130" si="28">+O99-M99</f>
        <v>0</v>
      </c>
    </row>
    <row r="100" spans="1:16">
      <c r="B100" s="160" t="str">
        <f>IF(D100=F99,"","IU")</f>
        <v/>
      </c>
      <c r="C100" s="472">
        <f>IF(D93="","-",+C99+1)</f>
        <v>2007</v>
      </c>
      <c r="D100" s="473">
        <v>56133</v>
      </c>
      <c r="E100" s="480">
        <v>1059</v>
      </c>
      <c r="F100" s="479">
        <v>55074</v>
      </c>
      <c r="G100" s="479">
        <v>55603</v>
      </c>
      <c r="H100" s="480">
        <v>0</v>
      </c>
      <c r="I100" s="481">
        <v>0</v>
      </c>
      <c r="J100" s="478">
        <f t="shared" si="25"/>
        <v>0</v>
      </c>
      <c r="K100" s="478"/>
      <c r="L100" s="476">
        <v>0</v>
      </c>
      <c r="M100" s="478">
        <f t="shared" si="26"/>
        <v>0</v>
      </c>
      <c r="N100" s="476">
        <v>0</v>
      </c>
      <c r="O100" s="478">
        <f t="shared" si="27"/>
        <v>0</v>
      </c>
      <c r="P100" s="478">
        <f t="shared" si="28"/>
        <v>0</v>
      </c>
    </row>
    <row r="101" spans="1:16">
      <c r="B101" s="160" t="str">
        <f t="shared" ref="B101:B154" si="29">IF(D101=F100,"","IU")</f>
        <v/>
      </c>
      <c r="C101" s="472">
        <f>IF(D93="","-",+C100+1)</f>
        <v>2008</v>
      </c>
      <c r="D101" s="473">
        <v>55074</v>
      </c>
      <c r="E101" s="480">
        <v>1059</v>
      </c>
      <c r="F101" s="479">
        <v>54015</v>
      </c>
      <c r="G101" s="479">
        <v>54544</v>
      </c>
      <c r="H101" s="480">
        <v>9723</v>
      </c>
      <c r="I101" s="481">
        <v>9723</v>
      </c>
      <c r="J101" s="478">
        <f t="shared" si="25"/>
        <v>0</v>
      </c>
      <c r="K101" s="478"/>
      <c r="L101" s="476">
        <v>9723</v>
      </c>
      <c r="M101" s="478">
        <f t="shared" si="26"/>
        <v>0</v>
      </c>
      <c r="N101" s="476">
        <v>9723</v>
      </c>
      <c r="O101" s="478">
        <f t="shared" si="27"/>
        <v>0</v>
      </c>
      <c r="P101" s="478">
        <f t="shared" si="28"/>
        <v>0</v>
      </c>
    </row>
    <row r="102" spans="1:16">
      <c r="B102" s="160" t="str">
        <f t="shared" si="29"/>
        <v/>
      </c>
      <c r="C102" s="472">
        <f>IF(D93="","-",+C101+1)</f>
        <v>2009</v>
      </c>
      <c r="D102" s="473">
        <v>54015</v>
      </c>
      <c r="E102" s="480">
        <v>1002</v>
      </c>
      <c r="F102" s="479">
        <v>53013</v>
      </c>
      <c r="G102" s="479">
        <v>53514</v>
      </c>
      <c r="H102" s="480">
        <v>8826.1899911613018</v>
      </c>
      <c r="I102" s="481">
        <v>8826.1899911613018</v>
      </c>
      <c r="J102" s="478">
        <f t="shared" si="25"/>
        <v>0</v>
      </c>
      <c r="K102" s="478"/>
      <c r="L102" s="540">
        <f t="shared" ref="L102:L107" si="30">H102</f>
        <v>8826.1899911613018</v>
      </c>
      <c r="M102" s="541">
        <f t="shared" si="26"/>
        <v>0</v>
      </c>
      <c r="N102" s="540">
        <f t="shared" ref="N102:N107" si="31">I102</f>
        <v>8826.1899911613018</v>
      </c>
      <c r="O102" s="478">
        <f t="shared" si="27"/>
        <v>0</v>
      </c>
      <c r="P102" s="478">
        <f t="shared" si="28"/>
        <v>0</v>
      </c>
    </row>
    <row r="103" spans="1:16">
      <c r="B103" s="160" t="str">
        <f t="shared" si="29"/>
        <v/>
      </c>
      <c r="C103" s="472">
        <f>IF(D93="","-",+C102+1)</f>
        <v>2010</v>
      </c>
      <c r="D103" s="473">
        <v>53013</v>
      </c>
      <c r="E103" s="480">
        <v>1101</v>
      </c>
      <c r="F103" s="479">
        <v>51912</v>
      </c>
      <c r="G103" s="479">
        <v>52462.5</v>
      </c>
      <c r="H103" s="480">
        <v>9537.7685710444202</v>
      </c>
      <c r="I103" s="481">
        <v>9537.7685710444202</v>
      </c>
      <c r="J103" s="478">
        <f t="shared" si="25"/>
        <v>0</v>
      </c>
      <c r="K103" s="478"/>
      <c r="L103" s="540">
        <f t="shared" si="30"/>
        <v>9537.7685710444202</v>
      </c>
      <c r="M103" s="541">
        <f t="shared" si="26"/>
        <v>0</v>
      </c>
      <c r="N103" s="540">
        <f t="shared" si="31"/>
        <v>9537.7685710444202</v>
      </c>
      <c r="O103" s="478">
        <f t="shared" si="27"/>
        <v>0</v>
      </c>
      <c r="P103" s="478">
        <f t="shared" si="28"/>
        <v>0</v>
      </c>
    </row>
    <row r="104" spans="1:16">
      <c r="B104" s="160" t="str">
        <f t="shared" si="29"/>
        <v/>
      </c>
      <c r="C104" s="472">
        <f>IF(D93="","-",+C103+1)</f>
        <v>2011</v>
      </c>
      <c r="D104" s="473">
        <v>51912</v>
      </c>
      <c r="E104" s="480">
        <v>1079</v>
      </c>
      <c r="F104" s="479">
        <v>50833</v>
      </c>
      <c r="G104" s="479">
        <v>51372.5</v>
      </c>
      <c r="H104" s="480">
        <v>8261.5658402233203</v>
      </c>
      <c r="I104" s="481">
        <v>8261.5658402233203</v>
      </c>
      <c r="J104" s="478">
        <f t="shared" si="25"/>
        <v>0</v>
      </c>
      <c r="K104" s="478"/>
      <c r="L104" s="540">
        <f t="shared" si="30"/>
        <v>8261.5658402233203</v>
      </c>
      <c r="M104" s="541">
        <f t="shared" si="26"/>
        <v>0</v>
      </c>
      <c r="N104" s="540">
        <f t="shared" si="31"/>
        <v>8261.5658402233203</v>
      </c>
      <c r="O104" s="478">
        <f t="shared" si="27"/>
        <v>0</v>
      </c>
      <c r="P104" s="478">
        <f t="shared" si="28"/>
        <v>0</v>
      </c>
    </row>
    <row r="105" spans="1:16">
      <c r="B105" s="160" t="str">
        <f t="shared" si="29"/>
        <v/>
      </c>
      <c r="C105" s="472">
        <f>IF(D93="","-",+C104+1)</f>
        <v>2012</v>
      </c>
      <c r="D105" s="473">
        <v>50833</v>
      </c>
      <c r="E105" s="480">
        <v>1079</v>
      </c>
      <c r="F105" s="479">
        <v>49754</v>
      </c>
      <c r="G105" s="479">
        <v>50293.5</v>
      </c>
      <c r="H105" s="480">
        <v>8313.995673781943</v>
      </c>
      <c r="I105" s="481">
        <v>8313.995673781943</v>
      </c>
      <c r="J105" s="478">
        <v>0</v>
      </c>
      <c r="K105" s="478"/>
      <c r="L105" s="540">
        <f t="shared" si="30"/>
        <v>8313.995673781943</v>
      </c>
      <c r="M105" s="541">
        <f t="shared" ref="M105:M110" si="32">IF(L105&lt;&gt;0,+H105-L105,0)</f>
        <v>0</v>
      </c>
      <c r="N105" s="540">
        <f t="shared" si="31"/>
        <v>8313.995673781943</v>
      </c>
      <c r="O105" s="478">
        <f t="shared" ref="O105:O110" si="33">IF(N105&lt;&gt;0,+I105-N105,0)</f>
        <v>0</v>
      </c>
      <c r="P105" s="478">
        <f t="shared" ref="P105:P110" si="34">+O105-M105</f>
        <v>0</v>
      </c>
    </row>
    <row r="106" spans="1:16">
      <c r="B106" s="160" t="str">
        <f t="shared" si="29"/>
        <v/>
      </c>
      <c r="C106" s="472">
        <f>IF(D93="","-",+C105+1)</f>
        <v>2013</v>
      </c>
      <c r="D106" s="473">
        <v>49754</v>
      </c>
      <c r="E106" s="480">
        <v>1079</v>
      </c>
      <c r="F106" s="479">
        <v>48675</v>
      </c>
      <c r="G106" s="479">
        <v>49214.5</v>
      </c>
      <c r="H106" s="480">
        <v>8162.9151459393179</v>
      </c>
      <c r="I106" s="481">
        <v>8162.9151459393179</v>
      </c>
      <c r="J106" s="478">
        <v>0</v>
      </c>
      <c r="K106" s="478"/>
      <c r="L106" s="540">
        <f t="shared" si="30"/>
        <v>8162.9151459393179</v>
      </c>
      <c r="M106" s="541">
        <f t="shared" si="32"/>
        <v>0</v>
      </c>
      <c r="N106" s="540">
        <f t="shared" si="31"/>
        <v>8162.9151459393179</v>
      </c>
      <c r="O106" s="478">
        <f t="shared" si="33"/>
        <v>0</v>
      </c>
      <c r="P106" s="478">
        <f t="shared" si="34"/>
        <v>0</v>
      </c>
    </row>
    <row r="107" spans="1:16">
      <c r="B107" s="160" t="str">
        <f t="shared" si="29"/>
        <v/>
      </c>
      <c r="C107" s="472">
        <f>IF(D93="","-",+C106+1)</f>
        <v>2014</v>
      </c>
      <c r="D107" s="473">
        <v>48675</v>
      </c>
      <c r="E107" s="480">
        <v>1079</v>
      </c>
      <c r="F107" s="479">
        <v>47596</v>
      </c>
      <c r="G107" s="479">
        <v>48135.5</v>
      </c>
      <c r="H107" s="480">
        <v>7846.6545337569178</v>
      </c>
      <c r="I107" s="481">
        <v>7846.6545337569178</v>
      </c>
      <c r="J107" s="478">
        <v>0</v>
      </c>
      <c r="K107" s="478"/>
      <c r="L107" s="540">
        <f t="shared" si="30"/>
        <v>7846.6545337569178</v>
      </c>
      <c r="M107" s="541">
        <f t="shared" si="32"/>
        <v>0</v>
      </c>
      <c r="N107" s="540">
        <f t="shared" si="31"/>
        <v>7846.6545337569178</v>
      </c>
      <c r="O107" s="478">
        <f t="shared" si="33"/>
        <v>0</v>
      </c>
      <c r="P107" s="478">
        <f t="shared" si="34"/>
        <v>0</v>
      </c>
    </row>
    <row r="108" spans="1:16">
      <c r="B108" s="160" t="str">
        <f t="shared" si="29"/>
        <v/>
      </c>
      <c r="C108" s="472">
        <f>IF(D93="","-",+C107+1)</f>
        <v>2015</v>
      </c>
      <c r="D108" s="473">
        <v>47596</v>
      </c>
      <c r="E108" s="480">
        <v>1079</v>
      </c>
      <c r="F108" s="479">
        <v>46517</v>
      </c>
      <c r="G108" s="479">
        <v>47056.5</v>
      </c>
      <c r="H108" s="480">
        <v>7499.4810720950254</v>
      </c>
      <c r="I108" s="481">
        <v>7499.4810720950254</v>
      </c>
      <c r="J108" s="478">
        <f t="shared" si="25"/>
        <v>0</v>
      </c>
      <c r="K108" s="478"/>
      <c r="L108" s="540">
        <f t="shared" ref="L108:L113" si="35">H108</f>
        <v>7499.4810720950254</v>
      </c>
      <c r="M108" s="541">
        <f t="shared" si="32"/>
        <v>0</v>
      </c>
      <c r="N108" s="540">
        <f t="shared" ref="N108:N113" si="36">I108</f>
        <v>7499.4810720950254</v>
      </c>
      <c r="O108" s="478">
        <f t="shared" si="33"/>
        <v>0</v>
      </c>
      <c r="P108" s="478">
        <f t="shared" si="34"/>
        <v>0</v>
      </c>
    </row>
    <row r="109" spans="1:16">
      <c r="B109" s="160" t="str">
        <f t="shared" si="29"/>
        <v/>
      </c>
      <c r="C109" s="472">
        <f>IF(D93="","-",+C108+1)</f>
        <v>2016</v>
      </c>
      <c r="D109" s="473">
        <v>46517</v>
      </c>
      <c r="E109" s="480">
        <v>1220</v>
      </c>
      <c r="F109" s="479">
        <v>45297</v>
      </c>
      <c r="G109" s="479">
        <v>45907</v>
      </c>
      <c r="H109" s="480">
        <v>7138.135283574793</v>
      </c>
      <c r="I109" s="481">
        <v>7138.135283574793</v>
      </c>
      <c r="J109" s="478">
        <f t="shared" si="25"/>
        <v>0</v>
      </c>
      <c r="K109" s="478"/>
      <c r="L109" s="540">
        <f t="shared" si="35"/>
        <v>7138.135283574793</v>
      </c>
      <c r="M109" s="541">
        <f t="shared" si="32"/>
        <v>0</v>
      </c>
      <c r="N109" s="540">
        <f t="shared" si="36"/>
        <v>7138.135283574793</v>
      </c>
      <c r="O109" s="478">
        <f t="shared" si="33"/>
        <v>0</v>
      </c>
      <c r="P109" s="478">
        <f t="shared" si="34"/>
        <v>0</v>
      </c>
    </row>
    <row r="110" spans="1:16">
      <c r="B110" s="160" t="str">
        <f t="shared" si="29"/>
        <v/>
      </c>
      <c r="C110" s="472">
        <f>IF(D93="","-",+C109+1)</f>
        <v>2017</v>
      </c>
      <c r="D110" s="473">
        <v>45297</v>
      </c>
      <c r="E110" s="480">
        <v>1220</v>
      </c>
      <c r="F110" s="479">
        <v>44077</v>
      </c>
      <c r="G110" s="479">
        <v>44687</v>
      </c>
      <c r="H110" s="480">
        <v>6888.6586283105316</v>
      </c>
      <c r="I110" s="481">
        <v>6888.6586283105316</v>
      </c>
      <c r="J110" s="478">
        <f t="shared" si="25"/>
        <v>0</v>
      </c>
      <c r="K110" s="478"/>
      <c r="L110" s="540">
        <f t="shared" si="35"/>
        <v>6888.6586283105316</v>
      </c>
      <c r="M110" s="541">
        <f t="shared" si="32"/>
        <v>0</v>
      </c>
      <c r="N110" s="540">
        <f t="shared" si="36"/>
        <v>6888.6586283105316</v>
      </c>
      <c r="O110" s="478">
        <f t="shared" si="33"/>
        <v>0</v>
      </c>
      <c r="P110" s="478">
        <f t="shared" si="34"/>
        <v>0</v>
      </c>
    </row>
    <row r="111" spans="1:16">
      <c r="B111" s="160" t="str">
        <f t="shared" si="29"/>
        <v/>
      </c>
      <c r="C111" s="472">
        <f>IF(D93="","-",+C110+1)</f>
        <v>2018</v>
      </c>
      <c r="D111" s="473">
        <v>44077</v>
      </c>
      <c r="E111" s="480">
        <v>1305</v>
      </c>
      <c r="F111" s="479">
        <v>42772</v>
      </c>
      <c r="G111" s="479">
        <v>43424.5</v>
      </c>
      <c r="H111" s="480">
        <v>5766.2406216754998</v>
      </c>
      <c r="I111" s="481">
        <v>5766.2406216754998</v>
      </c>
      <c r="J111" s="478">
        <f t="shared" si="25"/>
        <v>0</v>
      </c>
      <c r="K111" s="478"/>
      <c r="L111" s="540">
        <f t="shared" si="35"/>
        <v>5766.2406216754998</v>
      </c>
      <c r="M111" s="541">
        <f t="shared" ref="M111" si="37">IF(L111&lt;&gt;0,+H111-L111,0)</f>
        <v>0</v>
      </c>
      <c r="N111" s="540">
        <f t="shared" si="36"/>
        <v>5766.2406216754998</v>
      </c>
      <c r="O111" s="478">
        <f t="shared" ref="O111" si="38">IF(N111&lt;&gt;0,+I111-N111,0)</f>
        <v>0</v>
      </c>
      <c r="P111" s="478">
        <f t="shared" ref="P111" si="39">+O111-M111</f>
        <v>0</v>
      </c>
    </row>
    <row r="112" spans="1:16">
      <c r="B112" s="160" t="str">
        <f t="shared" si="29"/>
        <v/>
      </c>
      <c r="C112" s="472">
        <f>IF(D93="","-",+C111+1)</f>
        <v>2019</v>
      </c>
      <c r="D112" s="473">
        <v>42772</v>
      </c>
      <c r="E112" s="480">
        <v>1369</v>
      </c>
      <c r="F112" s="479">
        <v>41403</v>
      </c>
      <c r="G112" s="479">
        <v>42087.5</v>
      </c>
      <c r="H112" s="480">
        <v>5708.8115726685282</v>
      </c>
      <c r="I112" s="481">
        <v>5708.8115726685282</v>
      </c>
      <c r="J112" s="478">
        <f t="shared" si="25"/>
        <v>0</v>
      </c>
      <c r="K112" s="478"/>
      <c r="L112" s="540">
        <f t="shared" si="35"/>
        <v>5708.8115726685282</v>
      </c>
      <c r="M112" s="541">
        <f t="shared" ref="M112" si="40">IF(L112&lt;&gt;0,+H112-L112,0)</f>
        <v>0</v>
      </c>
      <c r="N112" s="540">
        <f t="shared" si="36"/>
        <v>5708.8115726685282</v>
      </c>
      <c r="O112" s="478">
        <f t="shared" si="27"/>
        <v>0</v>
      </c>
      <c r="P112" s="478">
        <f t="shared" si="28"/>
        <v>0</v>
      </c>
    </row>
    <row r="113" spans="2:16">
      <c r="B113" s="160" t="str">
        <f t="shared" si="29"/>
        <v/>
      </c>
      <c r="C113" s="472">
        <f>IF(D93="","-",+C112+1)</f>
        <v>2020</v>
      </c>
      <c r="D113" s="473">
        <v>41403</v>
      </c>
      <c r="E113" s="480">
        <v>1305</v>
      </c>
      <c r="F113" s="479">
        <v>40098</v>
      </c>
      <c r="G113" s="479">
        <v>40750.5</v>
      </c>
      <c r="H113" s="480">
        <v>6003.4206157380368</v>
      </c>
      <c r="I113" s="481">
        <v>6003.4206157380368</v>
      </c>
      <c r="J113" s="478">
        <f t="shared" si="25"/>
        <v>0</v>
      </c>
      <c r="K113" s="478"/>
      <c r="L113" s="540">
        <f t="shared" si="35"/>
        <v>6003.4206157380368</v>
      </c>
      <c r="M113" s="541">
        <f t="shared" ref="M113" si="41">IF(L113&lt;&gt;0,+H113-L113,0)</f>
        <v>0</v>
      </c>
      <c r="N113" s="540">
        <f t="shared" si="36"/>
        <v>6003.4206157380368</v>
      </c>
      <c r="O113" s="478">
        <f t="shared" si="27"/>
        <v>0</v>
      </c>
      <c r="P113" s="478">
        <f t="shared" si="28"/>
        <v>0</v>
      </c>
    </row>
    <row r="114" spans="2:16">
      <c r="B114" s="160" t="str">
        <f t="shared" si="29"/>
        <v/>
      </c>
      <c r="C114" s="472">
        <f>IF(D93="","-",+C113+1)</f>
        <v>2021</v>
      </c>
      <c r="D114" s="347">
        <f>IF(F113+SUM(E$99:E113)=D$92,F113,D$92-SUM(E$99:E113))</f>
        <v>40098</v>
      </c>
      <c r="E114" s="486">
        <f>IF(+J96&lt;F113,J96,D114)</f>
        <v>1369</v>
      </c>
      <c r="F114" s="485">
        <f t="shared" ref="F114:F130" si="42">+D114-E114</f>
        <v>38729</v>
      </c>
      <c r="G114" s="485">
        <f t="shared" ref="G114:G130" si="43">+(F114+D114)/2</f>
        <v>39413.5</v>
      </c>
      <c r="H114" s="486">
        <f t="shared" ref="H114:H153" si="44">(D114+F114)/2*J$94+E114</f>
        <v>5853.9722481455983</v>
      </c>
      <c r="I114" s="542">
        <f t="shared" ref="I114:I153" si="45">+J$95*G114+E114</f>
        <v>5853.9722481455983</v>
      </c>
      <c r="J114" s="478">
        <f t="shared" si="25"/>
        <v>0</v>
      </c>
      <c r="K114" s="478"/>
      <c r="L114" s="487"/>
      <c r="M114" s="478">
        <f t="shared" si="26"/>
        <v>0</v>
      </c>
      <c r="N114" s="487"/>
      <c r="O114" s="478">
        <f t="shared" si="27"/>
        <v>0</v>
      </c>
      <c r="P114" s="478">
        <f t="shared" si="28"/>
        <v>0</v>
      </c>
    </row>
    <row r="115" spans="2:16">
      <c r="B115" s="160" t="str">
        <f t="shared" si="29"/>
        <v/>
      </c>
      <c r="C115" s="472">
        <f>IF(D93="","-",+C114+1)</f>
        <v>2022</v>
      </c>
      <c r="D115" s="347">
        <f>IF(F114+SUM(E$99:E114)=D$92,F114,D$92-SUM(E$99:E114))</f>
        <v>38729</v>
      </c>
      <c r="E115" s="486">
        <f>IF(+J96&lt;F114,J96,D115)</f>
        <v>1369</v>
      </c>
      <c r="F115" s="485">
        <f t="shared" si="42"/>
        <v>37360</v>
      </c>
      <c r="G115" s="485">
        <f t="shared" si="43"/>
        <v>38044.5</v>
      </c>
      <c r="H115" s="486">
        <f t="shared" si="44"/>
        <v>5698.1899144855252</v>
      </c>
      <c r="I115" s="542">
        <f t="shared" si="45"/>
        <v>5698.1899144855252</v>
      </c>
      <c r="J115" s="478">
        <f t="shared" si="25"/>
        <v>0</v>
      </c>
      <c r="K115" s="478"/>
      <c r="L115" s="487"/>
      <c r="M115" s="478">
        <f t="shared" si="26"/>
        <v>0</v>
      </c>
      <c r="N115" s="487"/>
      <c r="O115" s="478">
        <f t="shared" si="27"/>
        <v>0</v>
      </c>
      <c r="P115" s="478">
        <f t="shared" si="28"/>
        <v>0</v>
      </c>
    </row>
    <row r="116" spans="2:16">
      <c r="B116" s="160" t="str">
        <f t="shared" si="29"/>
        <v/>
      </c>
      <c r="C116" s="472">
        <f>IF(D93="","-",+C115+1)</f>
        <v>2023</v>
      </c>
      <c r="D116" s="347">
        <f>IF(F115+SUM(E$99:E115)=D$92,F115,D$92-SUM(E$99:E115))</f>
        <v>37360</v>
      </c>
      <c r="E116" s="486">
        <f>IF(+J96&lt;F115,J96,D116)</f>
        <v>1369</v>
      </c>
      <c r="F116" s="485">
        <f t="shared" si="42"/>
        <v>35991</v>
      </c>
      <c r="G116" s="485">
        <f t="shared" si="43"/>
        <v>36675.5</v>
      </c>
      <c r="H116" s="486">
        <f t="shared" si="44"/>
        <v>5542.4075808254511</v>
      </c>
      <c r="I116" s="542">
        <f t="shared" si="45"/>
        <v>5542.4075808254511</v>
      </c>
      <c r="J116" s="478">
        <f t="shared" si="25"/>
        <v>0</v>
      </c>
      <c r="K116" s="478"/>
      <c r="L116" s="487"/>
      <c r="M116" s="478">
        <f t="shared" si="26"/>
        <v>0</v>
      </c>
      <c r="N116" s="487"/>
      <c r="O116" s="478">
        <f t="shared" si="27"/>
        <v>0</v>
      </c>
      <c r="P116" s="478">
        <f t="shared" si="28"/>
        <v>0</v>
      </c>
    </row>
    <row r="117" spans="2:16">
      <c r="B117" s="160" t="str">
        <f t="shared" si="29"/>
        <v/>
      </c>
      <c r="C117" s="472">
        <f>IF(D93="","-",+C116+1)</f>
        <v>2024</v>
      </c>
      <c r="D117" s="347">
        <f>IF(F116+SUM(E$99:E116)=D$92,F116,D$92-SUM(E$99:E116))</f>
        <v>35991</v>
      </c>
      <c r="E117" s="486">
        <f>IF(+J96&lt;F116,J96,D117)</f>
        <v>1369</v>
      </c>
      <c r="F117" s="485">
        <f t="shared" si="42"/>
        <v>34622</v>
      </c>
      <c r="G117" s="485">
        <f t="shared" si="43"/>
        <v>35306.5</v>
      </c>
      <c r="H117" s="486">
        <f t="shared" si="44"/>
        <v>5386.625247165377</v>
      </c>
      <c r="I117" s="542">
        <f t="shared" si="45"/>
        <v>5386.625247165377</v>
      </c>
      <c r="J117" s="478">
        <f t="shared" si="25"/>
        <v>0</v>
      </c>
      <c r="K117" s="478"/>
      <c r="L117" s="487"/>
      <c r="M117" s="478">
        <f t="shared" si="26"/>
        <v>0</v>
      </c>
      <c r="N117" s="487"/>
      <c r="O117" s="478">
        <f t="shared" si="27"/>
        <v>0</v>
      </c>
      <c r="P117" s="478">
        <f t="shared" si="28"/>
        <v>0</v>
      </c>
    </row>
    <row r="118" spans="2:16">
      <c r="B118" s="160" t="str">
        <f t="shared" si="29"/>
        <v/>
      </c>
      <c r="C118" s="472">
        <f>IF(D93="","-",+C117+1)</f>
        <v>2025</v>
      </c>
      <c r="D118" s="347">
        <f>IF(F117+SUM(E$99:E117)=D$92,F117,D$92-SUM(E$99:E117))</f>
        <v>34622</v>
      </c>
      <c r="E118" s="486">
        <f>IF(+J96&lt;F117,J96,D118)</f>
        <v>1369</v>
      </c>
      <c r="F118" s="485">
        <f t="shared" si="42"/>
        <v>33253</v>
      </c>
      <c r="G118" s="485">
        <f t="shared" si="43"/>
        <v>33937.5</v>
      </c>
      <c r="H118" s="486">
        <f t="shared" si="44"/>
        <v>5230.8429135053029</v>
      </c>
      <c r="I118" s="542">
        <f t="shared" si="45"/>
        <v>5230.8429135053029</v>
      </c>
      <c r="J118" s="478">
        <f t="shared" si="25"/>
        <v>0</v>
      </c>
      <c r="K118" s="478"/>
      <c r="L118" s="487"/>
      <c r="M118" s="478">
        <f t="shared" si="26"/>
        <v>0</v>
      </c>
      <c r="N118" s="487"/>
      <c r="O118" s="478">
        <f t="shared" si="27"/>
        <v>0</v>
      </c>
      <c r="P118" s="478">
        <f t="shared" si="28"/>
        <v>0</v>
      </c>
    </row>
    <row r="119" spans="2:16">
      <c r="B119" s="160" t="str">
        <f t="shared" si="29"/>
        <v/>
      </c>
      <c r="C119" s="472">
        <f>IF(D93="","-",+C118+1)</f>
        <v>2026</v>
      </c>
      <c r="D119" s="347">
        <f>IF(F118+SUM(E$99:E118)=D$92,F118,D$92-SUM(E$99:E118))</f>
        <v>33253</v>
      </c>
      <c r="E119" s="486">
        <f>IF(+J96&lt;F118,J96,D119)</f>
        <v>1369</v>
      </c>
      <c r="F119" s="485">
        <f t="shared" si="42"/>
        <v>31884</v>
      </c>
      <c r="G119" s="485">
        <f t="shared" si="43"/>
        <v>32568.5</v>
      </c>
      <c r="H119" s="486">
        <f t="shared" si="44"/>
        <v>5075.0605798452289</v>
      </c>
      <c r="I119" s="542">
        <f t="shared" si="45"/>
        <v>5075.0605798452289</v>
      </c>
      <c r="J119" s="478">
        <f t="shared" si="25"/>
        <v>0</v>
      </c>
      <c r="K119" s="478"/>
      <c r="L119" s="487"/>
      <c r="M119" s="478">
        <f t="shared" si="26"/>
        <v>0</v>
      </c>
      <c r="N119" s="487"/>
      <c r="O119" s="478">
        <f t="shared" si="27"/>
        <v>0</v>
      </c>
      <c r="P119" s="478">
        <f t="shared" si="28"/>
        <v>0</v>
      </c>
    </row>
    <row r="120" spans="2:16">
      <c r="B120" s="160" t="str">
        <f t="shared" si="29"/>
        <v/>
      </c>
      <c r="C120" s="472">
        <f>IF(D93="","-",+C119+1)</f>
        <v>2027</v>
      </c>
      <c r="D120" s="347">
        <f>IF(F119+SUM(E$99:E119)=D$92,F119,D$92-SUM(E$99:E119))</f>
        <v>31884</v>
      </c>
      <c r="E120" s="486">
        <f>IF(+J96&lt;F119,J96,D120)</f>
        <v>1369</v>
      </c>
      <c r="F120" s="485">
        <f t="shared" si="42"/>
        <v>30515</v>
      </c>
      <c r="G120" s="485">
        <f t="shared" si="43"/>
        <v>31199.5</v>
      </c>
      <c r="H120" s="486">
        <f t="shared" si="44"/>
        <v>4919.2782461851548</v>
      </c>
      <c r="I120" s="542">
        <f t="shared" si="45"/>
        <v>4919.2782461851548</v>
      </c>
      <c r="J120" s="478">
        <f t="shared" si="25"/>
        <v>0</v>
      </c>
      <c r="K120" s="478"/>
      <c r="L120" s="487"/>
      <c r="M120" s="478">
        <f t="shared" si="26"/>
        <v>0</v>
      </c>
      <c r="N120" s="487"/>
      <c r="O120" s="478">
        <f t="shared" si="27"/>
        <v>0</v>
      </c>
      <c r="P120" s="478">
        <f t="shared" si="28"/>
        <v>0</v>
      </c>
    </row>
    <row r="121" spans="2:16">
      <c r="B121" s="160" t="str">
        <f t="shared" si="29"/>
        <v/>
      </c>
      <c r="C121" s="472">
        <f>IF(D93="","-",+C120+1)</f>
        <v>2028</v>
      </c>
      <c r="D121" s="347">
        <f>IF(F120+SUM(E$99:E120)=D$92,F120,D$92-SUM(E$99:E120))</f>
        <v>30515</v>
      </c>
      <c r="E121" s="486">
        <f>IF(+J96&lt;F120,J96,D121)</f>
        <v>1369</v>
      </c>
      <c r="F121" s="485">
        <f t="shared" si="42"/>
        <v>29146</v>
      </c>
      <c r="G121" s="485">
        <f t="shared" si="43"/>
        <v>29830.5</v>
      </c>
      <c r="H121" s="486">
        <f t="shared" si="44"/>
        <v>4763.4959125250807</v>
      </c>
      <c r="I121" s="542">
        <f t="shared" si="45"/>
        <v>4763.4959125250807</v>
      </c>
      <c r="J121" s="478">
        <f t="shared" si="25"/>
        <v>0</v>
      </c>
      <c r="K121" s="478"/>
      <c r="L121" s="487"/>
      <c r="M121" s="478">
        <f t="shared" si="26"/>
        <v>0</v>
      </c>
      <c r="N121" s="487"/>
      <c r="O121" s="478">
        <f t="shared" si="27"/>
        <v>0</v>
      </c>
      <c r="P121" s="478">
        <f t="shared" si="28"/>
        <v>0</v>
      </c>
    </row>
    <row r="122" spans="2:16">
      <c r="B122" s="160" t="str">
        <f t="shared" si="29"/>
        <v/>
      </c>
      <c r="C122" s="472">
        <f>IF(D93="","-",+C121+1)</f>
        <v>2029</v>
      </c>
      <c r="D122" s="347">
        <f>IF(F121+SUM(E$99:E121)=D$92,F121,D$92-SUM(E$99:E121))</f>
        <v>29146</v>
      </c>
      <c r="E122" s="486">
        <f>IF(+J96&lt;F121,J96,D122)</f>
        <v>1369</v>
      </c>
      <c r="F122" s="485">
        <f t="shared" si="42"/>
        <v>27777</v>
      </c>
      <c r="G122" s="485">
        <f t="shared" si="43"/>
        <v>28461.5</v>
      </c>
      <c r="H122" s="486">
        <f t="shared" si="44"/>
        <v>4607.7135788650066</v>
      </c>
      <c r="I122" s="542">
        <f t="shared" si="45"/>
        <v>4607.7135788650066</v>
      </c>
      <c r="J122" s="478">
        <f t="shared" si="25"/>
        <v>0</v>
      </c>
      <c r="K122" s="478"/>
      <c r="L122" s="487"/>
      <c r="M122" s="478">
        <f t="shared" si="26"/>
        <v>0</v>
      </c>
      <c r="N122" s="487"/>
      <c r="O122" s="478">
        <f t="shared" si="27"/>
        <v>0</v>
      </c>
      <c r="P122" s="478">
        <f t="shared" si="28"/>
        <v>0</v>
      </c>
    </row>
    <row r="123" spans="2:16">
      <c r="B123" s="160" t="str">
        <f t="shared" si="29"/>
        <v/>
      </c>
      <c r="C123" s="472">
        <f>IF(D93="","-",+C122+1)</f>
        <v>2030</v>
      </c>
      <c r="D123" s="347">
        <f>IF(F122+SUM(E$99:E122)=D$92,F122,D$92-SUM(E$99:E122))</f>
        <v>27777</v>
      </c>
      <c r="E123" s="486">
        <f>IF(+J96&lt;F122,J96,D123)</f>
        <v>1369</v>
      </c>
      <c r="F123" s="485">
        <f t="shared" si="42"/>
        <v>26408</v>
      </c>
      <c r="G123" s="485">
        <f t="shared" si="43"/>
        <v>27092.5</v>
      </c>
      <c r="H123" s="486">
        <f t="shared" si="44"/>
        <v>4451.9312452049326</v>
      </c>
      <c r="I123" s="542">
        <f t="shared" si="45"/>
        <v>4451.9312452049326</v>
      </c>
      <c r="J123" s="478">
        <f t="shared" si="25"/>
        <v>0</v>
      </c>
      <c r="K123" s="478"/>
      <c r="L123" s="487"/>
      <c r="M123" s="478">
        <f t="shared" si="26"/>
        <v>0</v>
      </c>
      <c r="N123" s="487"/>
      <c r="O123" s="478">
        <f t="shared" si="27"/>
        <v>0</v>
      </c>
      <c r="P123" s="478">
        <f t="shared" si="28"/>
        <v>0</v>
      </c>
    </row>
    <row r="124" spans="2:16">
      <c r="B124" s="160" t="str">
        <f t="shared" si="29"/>
        <v/>
      </c>
      <c r="C124" s="472">
        <f>IF(D93="","-",+C123+1)</f>
        <v>2031</v>
      </c>
      <c r="D124" s="347">
        <f>IF(F123+SUM(E$99:E123)=D$92,F123,D$92-SUM(E$99:E123))</f>
        <v>26408</v>
      </c>
      <c r="E124" s="486">
        <f>IF(+J96&lt;F123,J96,D124)</f>
        <v>1369</v>
      </c>
      <c r="F124" s="485">
        <f t="shared" si="42"/>
        <v>25039</v>
      </c>
      <c r="G124" s="485">
        <f t="shared" si="43"/>
        <v>25723.5</v>
      </c>
      <c r="H124" s="486">
        <f t="shared" si="44"/>
        <v>4296.1489115448594</v>
      </c>
      <c r="I124" s="542">
        <f t="shared" si="45"/>
        <v>4296.1489115448594</v>
      </c>
      <c r="J124" s="478">
        <f t="shared" si="25"/>
        <v>0</v>
      </c>
      <c r="K124" s="478"/>
      <c r="L124" s="487"/>
      <c r="M124" s="478">
        <f t="shared" si="26"/>
        <v>0</v>
      </c>
      <c r="N124" s="487"/>
      <c r="O124" s="478">
        <f t="shared" si="27"/>
        <v>0</v>
      </c>
      <c r="P124" s="478">
        <f t="shared" si="28"/>
        <v>0</v>
      </c>
    </row>
    <row r="125" spans="2:16">
      <c r="B125" s="160" t="str">
        <f t="shared" si="29"/>
        <v/>
      </c>
      <c r="C125" s="472">
        <f>IF(D93="","-",+C124+1)</f>
        <v>2032</v>
      </c>
      <c r="D125" s="347">
        <f>IF(F124+SUM(E$99:E124)=D$92,F124,D$92-SUM(E$99:E124))</f>
        <v>25039</v>
      </c>
      <c r="E125" s="486">
        <f>IF(+J96&lt;F124,J96,D125)</f>
        <v>1369</v>
      </c>
      <c r="F125" s="485">
        <f t="shared" si="42"/>
        <v>23670</v>
      </c>
      <c r="G125" s="485">
        <f t="shared" si="43"/>
        <v>24354.5</v>
      </c>
      <c r="H125" s="486">
        <f t="shared" si="44"/>
        <v>4140.3665778847853</v>
      </c>
      <c r="I125" s="542">
        <f t="shared" si="45"/>
        <v>4140.3665778847853</v>
      </c>
      <c r="J125" s="478">
        <f t="shared" si="25"/>
        <v>0</v>
      </c>
      <c r="K125" s="478"/>
      <c r="L125" s="487"/>
      <c r="M125" s="478">
        <f t="shared" si="26"/>
        <v>0</v>
      </c>
      <c r="N125" s="487"/>
      <c r="O125" s="478">
        <f t="shared" si="27"/>
        <v>0</v>
      </c>
      <c r="P125" s="478">
        <f t="shared" si="28"/>
        <v>0</v>
      </c>
    </row>
    <row r="126" spans="2:16">
      <c r="B126" s="160" t="str">
        <f t="shared" si="29"/>
        <v/>
      </c>
      <c r="C126" s="472">
        <f>IF(D93="","-",+C125+1)</f>
        <v>2033</v>
      </c>
      <c r="D126" s="347">
        <f>IF(F125+SUM(E$99:E125)=D$92,F125,D$92-SUM(E$99:E125))</f>
        <v>23670</v>
      </c>
      <c r="E126" s="486">
        <f>IF(+J96&lt;F125,J96,D126)</f>
        <v>1369</v>
      </c>
      <c r="F126" s="485">
        <f t="shared" si="42"/>
        <v>22301</v>
      </c>
      <c r="G126" s="485">
        <f t="shared" si="43"/>
        <v>22985.5</v>
      </c>
      <c r="H126" s="486">
        <f t="shared" si="44"/>
        <v>3984.5842442247113</v>
      </c>
      <c r="I126" s="542">
        <f t="shared" si="45"/>
        <v>3984.5842442247113</v>
      </c>
      <c r="J126" s="478">
        <f t="shared" si="25"/>
        <v>0</v>
      </c>
      <c r="K126" s="478"/>
      <c r="L126" s="487"/>
      <c r="M126" s="478">
        <f t="shared" si="26"/>
        <v>0</v>
      </c>
      <c r="N126" s="487"/>
      <c r="O126" s="478">
        <f t="shared" si="27"/>
        <v>0</v>
      </c>
      <c r="P126" s="478">
        <f t="shared" si="28"/>
        <v>0</v>
      </c>
    </row>
    <row r="127" spans="2:16">
      <c r="B127" s="160" t="str">
        <f t="shared" si="29"/>
        <v/>
      </c>
      <c r="C127" s="472">
        <f>IF(D93="","-",+C126+1)</f>
        <v>2034</v>
      </c>
      <c r="D127" s="347">
        <f>IF(F126+SUM(E$99:E126)=D$92,F126,D$92-SUM(E$99:E126))</f>
        <v>22301</v>
      </c>
      <c r="E127" s="486">
        <f>IF(+J96&lt;F126,J96,D127)</f>
        <v>1369</v>
      </c>
      <c r="F127" s="485">
        <f t="shared" si="42"/>
        <v>20932</v>
      </c>
      <c r="G127" s="485">
        <f t="shared" si="43"/>
        <v>21616.5</v>
      </c>
      <c r="H127" s="486">
        <f t="shared" si="44"/>
        <v>3828.8019105646372</v>
      </c>
      <c r="I127" s="542">
        <f t="shared" si="45"/>
        <v>3828.8019105646372</v>
      </c>
      <c r="J127" s="478">
        <f t="shared" si="25"/>
        <v>0</v>
      </c>
      <c r="K127" s="478"/>
      <c r="L127" s="487"/>
      <c r="M127" s="478">
        <f t="shared" si="26"/>
        <v>0</v>
      </c>
      <c r="N127" s="487"/>
      <c r="O127" s="478">
        <f t="shared" si="27"/>
        <v>0</v>
      </c>
      <c r="P127" s="478">
        <f t="shared" si="28"/>
        <v>0</v>
      </c>
    </row>
    <row r="128" spans="2:16">
      <c r="B128" s="160" t="str">
        <f t="shared" si="29"/>
        <v/>
      </c>
      <c r="C128" s="472">
        <f>IF(D93="","-",+C127+1)</f>
        <v>2035</v>
      </c>
      <c r="D128" s="347">
        <f>IF(F127+SUM(E$99:E127)=D$92,F127,D$92-SUM(E$99:E127))</f>
        <v>20932</v>
      </c>
      <c r="E128" s="486">
        <f>IF(+J96&lt;F127,J96,D128)</f>
        <v>1369</v>
      </c>
      <c r="F128" s="485">
        <f t="shared" si="42"/>
        <v>19563</v>
      </c>
      <c r="G128" s="485">
        <f t="shared" si="43"/>
        <v>20247.5</v>
      </c>
      <c r="H128" s="486">
        <f t="shared" si="44"/>
        <v>3673.0195769045636</v>
      </c>
      <c r="I128" s="542">
        <f t="shared" si="45"/>
        <v>3673.0195769045636</v>
      </c>
      <c r="J128" s="478">
        <f t="shared" si="25"/>
        <v>0</v>
      </c>
      <c r="K128" s="478"/>
      <c r="L128" s="487"/>
      <c r="M128" s="478">
        <f t="shared" si="26"/>
        <v>0</v>
      </c>
      <c r="N128" s="487"/>
      <c r="O128" s="478">
        <f t="shared" si="27"/>
        <v>0</v>
      </c>
      <c r="P128" s="478">
        <f t="shared" si="28"/>
        <v>0</v>
      </c>
    </row>
    <row r="129" spans="2:16">
      <c r="B129" s="160" t="str">
        <f t="shared" si="29"/>
        <v/>
      </c>
      <c r="C129" s="472">
        <f>IF(D93="","-",+C128+1)</f>
        <v>2036</v>
      </c>
      <c r="D129" s="347">
        <f>IF(F128+SUM(E$99:E128)=D$92,F128,D$92-SUM(E$99:E128))</f>
        <v>19563</v>
      </c>
      <c r="E129" s="486">
        <f>IF(+J96&lt;F128,J96,D129)</f>
        <v>1369</v>
      </c>
      <c r="F129" s="485">
        <f t="shared" si="42"/>
        <v>18194</v>
      </c>
      <c r="G129" s="485">
        <f t="shared" si="43"/>
        <v>18878.5</v>
      </c>
      <c r="H129" s="486">
        <f t="shared" si="44"/>
        <v>3517.2372432444895</v>
      </c>
      <c r="I129" s="542">
        <f t="shared" si="45"/>
        <v>3517.2372432444895</v>
      </c>
      <c r="J129" s="478">
        <f t="shared" si="25"/>
        <v>0</v>
      </c>
      <c r="K129" s="478"/>
      <c r="L129" s="487"/>
      <c r="M129" s="478">
        <f t="shared" si="26"/>
        <v>0</v>
      </c>
      <c r="N129" s="487"/>
      <c r="O129" s="478">
        <f t="shared" si="27"/>
        <v>0</v>
      </c>
      <c r="P129" s="478">
        <f t="shared" si="28"/>
        <v>0</v>
      </c>
    </row>
    <row r="130" spans="2:16">
      <c r="B130" s="160" t="str">
        <f t="shared" si="29"/>
        <v/>
      </c>
      <c r="C130" s="472">
        <f>IF(D93="","-",+C129+1)</f>
        <v>2037</v>
      </c>
      <c r="D130" s="347">
        <f>IF(F129+SUM(E$99:E129)=D$92,F129,D$92-SUM(E$99:E129))</f>
        <v>18194</v>
      </c>
      <c r="E130" s="486">
        <f>IF(+J96&lt;F129,J96,D130)</f>
        <v>1369</v>
      </c>
      <c r="F130" s="485">
        <f t="shared" si="42"/>
        <v>16825</v>
      </c>
      <c r="G130" s="485">
        <f t="shared" si="43"/>
        <v>17509.5</v>
      </c>
      <c r="H130" s="486">
        <f t="shared" si="44"/>
        <v>3361.4549095844154</v>
      </c>
      <c r="I130" s="542">
        <f t="shared" si="45"/>
        <v>3361.4549095844154</v>
      </c>
      <c r="J130" s="478">
        <f t="shared" si="25"/>
        <v>0</v>
      </c>
      <c r="K130" s="478"/>
      <c r="L130" s="487"/>
      <c r="M130" s="478">
        <f t="shared" si="26"/>
        <v>0</v>
      </c>
      <c r="N130" s="487"/>
      <c r="O130" s="478">
        <f t="shared" si="27"/>
        <v>0</v>
      </c>
      <c r="P130" s="478">
        <f t="shared" si="28"/>
        <v>0</v>
      </c>
    </row>
    <row r="131" spans="2:16">
      <c r="B131" s="160" t="str">
        <f t="shared" si="29"/>
        <v/>
      </c>
      <c r="C131" s="472">
        <f>IF(D93="","-",+C130+1)</f>
        <v>2038</v>
      </c>
      <c r="D131" s="347">
        <f>IF(F130+SUM(E$99:E130)=D$92,F130,D$92-SUM(E$99:E130))</f>
        <v>16825</v>
      </c>
      <c r="E131" s="486">
        <f>IF(+J96&lt;F130,J96,D131)</f>
        <v>1369</v>
      </c>
      <c r="F131" s="485">
        <f t="shared" ref="F131:F154" si="46">+D131-E131</f>
        <v>15456</v>
      </c>
      <c r="G131" s="485">
        <f t="shared" ref="G131:G154" si="47">+(F131+D131)/2</f>
        <v>16140.5</v>
      </c>
      <c r="H131" s="486">
        <f t="shared" si="44"/>
        <v>3205.6725759243418</v>
      </c>
      <c r="I131" s="542">
        <f t="shared" si="45"/>
        <v>3205.6725759243418</v>
      </c>
      <c r="J131" s="478">
        <f t="shared" ref="J131:J154" si="48">+I131-H131</f>
        <v>0</v>
      </c>
      <c r="K131" s="478"/>
      <c r="L131" s="487"/>
      <c r="M131" s="478">
        <f t="shared" ref="M131:M154" si="49">IF(L131&lt;&gt;0,+H131-L131,0)</f>
        <v>0</v>
      </c>
      <c r="N131" s="487"/>
      <c r="O131" s="478">
        <f t="shared" ref="O131:O154" si="50">IF(N131&lt;&gt;0,+I131-N131,0)</f>
        <v>0</v>
      </c>
      <c r="P131" s="478">
        <f t="shared" ref="P131:P154" si="51">+O131-M131</f>
        <v>0</v>
      </c>
    </row>
    <row r="132" spans="2:16">
      <c r="B132" s="160" t="str">
        <f t="shared" si="29"/>
        <v/>
      </c>
      <c r="C132" s="472">
        <f>IF(D93="","-",+C131+1)</f>
        <v>2039</v>
      </c>
      <c r="D132" s="347">
        <f>IF(F131+SUM(E$99:E131)=D$92,F131,D$92-SUM(E$99:E131))</f>
        <v>15456</v>
      </c>
      <c r="E132" s="486">
        <f>IF(+J96&lt;F131,J96,D132)</f>
        <v>1369</v>
      </c>
      <c r="F132" s="485">
        <f t="shared" si="46"/>
        <v>14087</v>
      </c>
      <c r="G132" s="485">
        <f t="shared" si="47"/>
        <v>14771.5</v>
      </c>
      <c r="H132" s="486">
        <f t="shared" si="44"/>
        <v>3049.8902422642677</v>
      </c>
      <c r="I132" s="542">
        <f t="shared" si="45"/>
        <v>3049.8902422642677</v>
      </c>
      <c r="J132" s="478">
        <f t="shared" si="48"/>
        <v>0</v>
      </c>
      <c r="K132" s="478"/>
      <c r="L132" s="487"/>
      <c r="M132" s="478">
        <f t="shared" si="49"/>
        <v>0</v>
      </c>
      <c r="N132" s="487"/>
      <c r="O132" s="478">
        <f t="shared" si="50"/>
        <v>0</v>
      </c>
      <c r="P132" s="478">
        <f t="shared" si="51"/>
        <v>0</v>
      </c>
    </row>
    <row r="133" spans="2:16">
      <c r="B133" s="160" t="str">
        <f t="shared" si="29"/>
        <v/>
      </c>
      <c r="C133" s="472">
        <f>IF(D93="","-",+C132+1)</f>
        <v>2040</v>
      </c>
      <c r="D133" s="347">
        <f>IF(F132+SUM(E$99:E132)=D$92,F132,D$92-SUM(E$99:E132))</f>
        <v>14087</v>
      </c>
      <c r="E133" s="486">
        <f>IF(+J96&lt;F132,J96,D133)</f>
        <v>1369</v>
      </c>
      <c r="F133" s="485">
        <f t="shared" si="46"/>
        <v>12718</v>
      </c>
      <c r="G133" s="485">
        <f t="shared" si="47"/>
        <v>13402.5</v>
      </c>
      <c r="H133" s="486">
        <f t="shared" si="44"/>
        <v>2894.1079086041937</v>
      </c>
      <c r="I133" s="542">
        <f t="shared" si="45"/>
        <v>2894.1079086041937</v>
      </c>
      <c r="J133" s="478">
        <f t="shared" si="48"/>
        <v>0</v>
      </c>
      <c r="K133" s="478"/>
      <c r="L133" s="487"/>
      <c r="M133" s="478">
        <f t="shared" si="49"/>
        <v>0</v>
      </c>
      <c r="N133" s="487"/>
      <c r="O133" s="478">
        <f t="shared" si="50"/>
        <v>0</v>
      </c>
      <c r="P133" s="478">
        <f t="shared" si="51"/>
        <v>0</v>
      </c>
    </row>
    <row r="134" spans="2:16">
      <c r="B134" s="160" t="str">
        <f t="shared" si="29"/>
        <v/>
      </c>
      <c r="C134" s="472">
        <f>IF(D93="","-",+C133+1)</f>
        <v>2041</v>
      </c>
      <c r="D134" s="347">
        <f>IF(F133+SUM(E$99:E133)=D$92,F133,D$92-SUM(E$99:E133))</f>
        <v>12718</v>
      </c>
      <c r="E134" s="486">
        <f>IF(+J96&lt;F133,J96,D134)</f>
        <v>1369</v>
      </c>
      <c r="F134" s="485">
        <f t="shared" si="46"/>
        <v>11349</v>
      </c>
      <c r="G134" s="485">
        <f t="shared" si="47"/>
        <v>12033.5</v>
      </c>
      <c r="H134" s="486">
        <f t="shared" si="44"/>
        <v>2738.3255749441196</v>
      </c>
      <c r="I134" s="542">
        <f t="shared" si="45"/>
        <v>2738.3255749441196</v>
      </c>
      <c r="J134" s="478">
        <f t="shared" si="48"/>
        <v>0</v>
      </c>
      <c r="K134" s="478"/>
      <c r="L134" s="487"/>
      <c r="M134" s="478">
        <f t="shared" si="49"/>
        <v>0</v>
      </c>
      <c r="N134" s="487"/>
      <c r="O134" s="478">
        <f t="shared" si="50"/>
        <v>0</v>
      </c>
      <c r="P134" s="478">
        <f t="shared" si="51"/>
        <v>0</v>
      </c>
    </row>
    <row r="135" spans="2:16">
      <c r="B135" s="160" t="str">
        <f t="shared" si="29"/>
        <v/>
      </c>
      <c r="C135" s="472">
        <f>IF(D93="","-",+C134+1)</f>
        <v>2042</v>
      </c>
      <c r="D135" s="347">
        <f>IF(F134+SUM(E$99:E134)=D$92,F134,D$92-SUM(E$99:E134))</f>
        <v>11349</v>
      </c>
      <c r="E135" s="486">
        <f>IF(+J96&lt;F134,J96,D135)</f>
        <v>1369</v>
      </c>
      <c r="F135" s="485">
        <f t="shared" si="46"/>
        <v>9980</v>
      </c>
      <c r="G135" s="485">
        <f t="shared" si="47"/>
        <v>10664.5</v>
      </c>
      <c r="H135" s="486">
        <f t="shared" si="44"/>
        <v>2582.5432412840455</v>
      </c>
      <c r="I135" s="542">
        <f t="shared" si="45"/>
        <v>2582.5432412840455</v>
      </c>
      <c r="J135" s="478">
        <f t="shared" si="48"/>
        <v>0</v>
      </c>
      <c r="K135" s="478"/>
      <c r="L135" s="487"/>
      <c r="M135" s="478">
        <f t="shared" si="49"/>
        <v>0</v>
      </c>
      <c r="N135" s="487"/>
      <c r="O135" s="478">
        <f t="shared" si="50"/>
        <v>0</v>
      </c>
      <c r="P135" s="478">
        <f t="shared" si="51"/>
        <v>0</v>
      </c>
    </row>
    <row r="136" spans="2:16">
      <c r="B136" s="160" t="str">
        <f t="shared" si="29"/>
        <v/>
      </c>
      <c r="C136" s="472">
        <f>IF(D93="","-",+C135+1)</f>
        <v>2043</v>
      </c>
      <c r="D136" s="347">
        <f>IF(F135+SUM(E$99:E135)=D$92,F135,D$92-SUM(E$99:E135))</f>
        <v>9980</v>
      </c>
      <c r="E136" s="486">
        <f>IF(+J96&lt;F135,J96,D136)</f>
        <v>1369</v>
      </c>
      <c r="F136" s="485">
        <f t="shared" si="46"/>
        <v>8611</v>
      </c>
      <c r="G136" s="485">
        <f t="shared" si="47"/>
        <v>9295.5</v>
      </c>
      <c r="H136" s="486">
        <f t="shared" si="44"/>
        <v>2426.7609076239719</v>
      </c>
      <c r="I136" s="542">
        <f t="shared" si="45"/>
        <v>2426.7609076239719</v>
      </c>
      <c r="J136" s="478">
        <f t="shared" si="48"/>
        <v>0</v>
      </c>
      <c r="K136" s="478"/>
      <c r="L136" s="487"/>
      <c r="M136" s="478">
        <f t="shared" si="49"/>
        <v>0</v>
      </c>
      <c r="N136" s="487"/>
      <c r="O136" s="478">
        <f t="shared" si="50"/>
        <v>0</v>
      </c>
      <c r="P136" s="478">
        <f t="shared" si="51"/>
        <v>0</v>
      </c>
    </row>
    <row r="137" spans="2:16">
      <c r="B137" s="160" t="str">
        <f t="shared" si="29"/>
        <v/>
      </c>
      <c r="C137" s="472">
        <f>IF(D93="","-",+C136+1)</f>
        <v>2044</v>
      </c>
      <c r="D137" s="347">
        <f>IF(F136+SUM(E$99:E136)=D$92,F136,D$92-SUM(E$99:E136))</f>
        <v>8611</v>
      </c>
      <c r="E137" s="486">
        <f>IF(+J96&lt;F136,J96,D137)</f>
        <v>1369</v>
      </c>
      <c r="F137" s="485">
        <f t="shared" si="46"/>
        <v>7242</v>
      </c>
      <c r="G137" s="485">
        <f t="shared" si="47"/>
        <v>7926.5</v>
      </c>
      <c r="H137" s="486">
        <f t="shared" si="44"/>
        <v>2270.9785739638978</v>
      </c>
      <c r="I137" s="542">
        <f t="shared" si="45"/>
        <v>2270.9785739638978</v>
      </c>
      <c r="J137" s="478">
        <f t="shared" si="48"/>
        <v>0</v>
      </c>
      <c r="K137" s="478"/>
      <c r="L137" s="487"/>
      <c r="M137" s="478">
        <f t="shared" si="49"/>
        <v>0</v>
      </c>
      <c r="N137" s="487"/>
      <c r="O137" s="478">
        <f t="shared" si="50"/>
        <v>0</v>
      </c>
      <c r="P137" s="478">
        <f t="shared" si="51"/>
        <v>0</v>
      </c>
    </row>
    <row r="138" spans="2:16">
      <c r="B138" s="160" t="str">
        <f t="shared" si="29"/>
        <v/>
      </c>
      <c r="C138" s="472">
        <f>IF(D93="","-",+C137+1)</f>
        <v>2045</v>
      </c>
      <c r="D138" s="347">
        <f>IF(F137+SUM(E$99:E137)=D$92,F137,D$92-SUM(E$99:E137))</f>
        <v>7242</v>
      </c>
      <c r="E138" s="486">
        <f>IF(+J96&lt;F137,J96,D138)</f>
        <v>1369</v>
      </c>
      <c r="F138" s="485">
        <f t="shared" si="46"/>
        <v>5873</v>
      </c>
      <c r="G138" s="485">
        <f t="shared" si="47"/>
        <v>6557.5</v>
      </c>
      <c r="H138" s="486">
        <f t="shared" si="44"/>
        <v>2115.1962403038242</v>
      </c>
      <c r="I138" s="542">
        <f t="shared" si="45"/>
        <v>2115.1962403038242</v>
      </c>
      <c r="J138" s="478">
        <f t="shared" si="48"/>
        <v>0</v>
      </c>
      <c r="K138" s="478"/>
      <c r="L138" s="487"/>
      <c r="M138" s="478">
        <f t="shared" si="49"/>
        <v>0</v>
      </c>
      <c r="N138" s="487"/>
      <c r="O138" s="478">
        <f t="shared" si="50"/>
        <v>0</v>
      </c>
      <c r="P138" s="478">
        <f t="shared" si="51"/>
        <v>0</v>
      </c>
    </row>
    <row r="139" spans="2:16">
      <c r="B139" s="160" t="str">
        <f t="shared" si="29"/>
        <v/>
      </c>
      <c r="C139" s="472">
        <f>IF(D93="","-",+C138+1)</f>
        <v>2046</v>
      </c>
      <c r="D139" s="347">
        <f>IF(F138+SUM(E$99:E138)=D$92,F138,D$92-SUM(E$99:E138))</f>
        <v>5873</v>
      </c>
      <c r="E139" s="486">
        <f>IF(+J96&lt;F138,J96,D139)</f>
        <v>1369</v>
      </c>
      <c r="F139" s="485">
        <f t="shared" si="46"/>
        <v>4504</v>
      </c>
      <c r="G139" s="485">
        <f t="shared" si="47"/>
        <v>5188.5</v>
      </c>
      <c r="H139" s="486">
        <f t="shared" si="44"/>
        <v>1959.4139066437501</v>
      </c>
      <c r="I139" s="542">
        <f t="shared" si="45"/>
        <v>1959.4139066437501</v>
      </c>
      <c r="J139" s="478">
        <f t="shared" si="48"/>
        <v>0</v>
      </c>
      <c r="K139" s="478"/>
      <c r="L139" s="487"/>
      <c r="M139" s="478">
        <f t="shared" si="49"/>
        <v>0</v>
      </c>
      <c r="N139" s="487"/>
      <c r="O139" s="478">
        <f t="shared" si="50"/>
        <v>0</v>
      </c>
      <c r="P139" s="478">
        <f t="shared" si="51"/>
        <v>0</v>
      </c>
    </row>
    <row r="140" spans="2:16">
      <c r="B140" s="160" t="str">
        <f t="shared" si="29"/>
        <v/>
      </c>
      <c r="C140" s="472">
        <f>IF(D93="","-",+C139+1)</f>
        <v>2047</v>
      </c>
      <c r="D140" s="347">
        <f>IF(F139+SUM(E$99:E139)=D$92,F139,D$92-SUM(E$99:E139))</f>
        <v>4504</v>
      </c>
      <c r="E140" s="486">
        <f>IF(+J96&lt;F139,J96,D140)</f>
        <v>1369</v>
      </c>
      <c r="F140" s="485">
        <f t="shared" si="46"/>
        <v>3135</v>
      </c>
      <c r="G140" s="485">
        <f t="shared" si="47"/>
        <v>3819.5</v>
      </c>
      <c r="H140" s="486">
        <f t="shared" si="44"/>
        <v>1803.6315729836761</v>
      </c>
      <c r="I140" s="542">
        <f t="shared" si="45"/>
        <v>1803.6315729836761</v>
      </c>
      <c r="J140" s="478">
        <f t="shared" si="48"/>
        <v>0</v>
      </c>
      <c r="K140" s="478"/>
      <c r="L140" s="487"/>
      <c r="M140" s="478">
        <f t="shared" si="49"/>
        <v>0</v>
      </c>
      <c r="N140" s="487"/>
      <c r="O140" s="478">
        <f t="shared" si="50"/>
        <v>0</v>
      </c>
      <c r="P140" s="478">
        <f t="shared" si="51"/>
        <v>0</v>
      </c>
    </row>
    <row r="141" spans="2:16">
      <c r="B141" s="160" t="str">
        <f t="shared" si="29"/>
        <v/>
      </c>
      <c r="C141" s="472">
        <f>IF(D93="","-",+C140+1)</f>
        <v>2048</v>
      </c>
      <c r="D141" s="347">
        <f>IF(F140+SUM(E$99:E140)=D$92,F140,D$92-SUM(E$99:E140))</f>
        <v>3135</v>
      </c>
      <c r="E141" s="486">
        <f>IF(+J96&lt;F140,J96,D141)</f>
        <v>1369</v>
      </c>
      <c r="F141" s="485">
        <f t="shared" si="46"/>
        <v>1766</v>
      </c>
      <c r="G141" s="485">
        <f t="shared" si="47"/>
        <v>2450.5</v>
      </c>
      <c r="H141" s="486">
        <f t="shared" si="44"/>
        <v>1647.849239323602</v>
      </c>
      <c r="I141" s="542">
        <f t="shared" si="45"/>
        <v>1647.849239323602</v>
      </c>
      <c r="J141" s="478">
        <f t="shared" si="48"/>
        <v>0</v>
      </c>
      <c r="K141" s="478"/>
      <c r="L141" s="487"/>
      <c r="M141" s="478">
        <f t="shared" si="49"/>
        <v>0</v>
      </c>
      <c r="N141" s="487"/>
      <c r="O141" s="478">
        <f t="shared" si="50"/>
        <v>0</v>
      </c>
      <c r="P141" s="478">
        <f t="shared" si="51"/>
        <v>0</v>
      </c>
    </row>
    <row r="142" spans="2:16">
      <c r="B142" s="160" t="str">
        <f t="shared" si="29"/>
        <v/>
      </c>
      <c r="C142" s="472">
        <f>IF(D93="","-",+C141+1)</f>
        <v>2049</v>
      </c>
      <c r="D142" s="347">
        <f>IF(F141+SUM(E$99:E141)=D$92,F141,D$92-SUM(E$99:E141))</f>
        <v>1766</v>
      </c>
      <c r="E142" s="486">
        <f>IF(+J96&lt;F141,J96,D142)</f>
        <v>1369</v>
      </c>
      <c r="F142" s="485">
        <f t="shared" si="46"/>
        <v>397</v>
      </c>
      <c r="G142" s="485">
        <f t="shared" si="47"/>
        <v>1081.5</v>
      </c>
      <c r="H142" s="486">
        <f t="shared" si="44"/>
        <v>1492.0669056635281</v>
      </c>
      <c r="I142" s="542">
        <f t="shared" si="45"/>
        <v>1492.0669056635281</v>
      </c>
      <c r="J142" s="478">
        <f t="shared" si="48"/>
        <v>0</v>
      </c>
      <c r="K142" s="478"/>
      <c r="L142" s="487"/>
      <c r="M142" s="478">
        <f t="shared" si="49"/>
        <v>0</v>
      </c>
      <c r="N142" s="487"/>
      <c r="O142" s="478">
        <f t="shared" si="50"/>
        <v>0</v>
      </c>
      <c r="P142" s="478">
        <f t="shared" si="51"/>
        <v>0</v>
      </c>
    </row>
    <row r="143" spans="2:16">
      <c r="B143" s="160" t="str">
        <f t="shared" si="29"/>
        <v/>
      </c>
      <c r="C143" s="472">
        <f>IF(D93="","-",+C142+1)</f>
        <v>2050</v>
      </c>
      <c r="D143" s="347">
        <f>IF(F142+SUM(E$99:E142)=D$92,F142,D$92-SUM(E$99:E142))</f>
        <v>397</v>
      </c>
      <c r="E143" s="486">
        <f>IF(+J96&lt;F142,J96,D143)</f>
        <v>397</v>
      </c>
      <c r="F143" s="485">
        <f t="shared" si="46"/>
        <v>0</v>
      </c>
      <c r="G143" s="485">
        <f t="shared" si="47"/>
        <v>198.5</v>
      </c>
      <c r="H143" s="486">
        <f t="shared" si="44"/>
        <v>419.58786941674555</v>
      </c>
      <c r="I143" s="542">
        <f t="shared" si="45"/>
        <v>419.58786941674555</v>
      </c>
      <c r="J143" s="478">
        <f t="shared" si="48"/>
        <v>0</v>
      </c>
      <c r="K143" s="478"/>
      <c r="L143" s="487"/>
      <c r="M143" s="478">
        <f t="shared" si="49"/>
        <v>0</v>
      </c>
      <c r="N143" s="487"/>
      <c r="O143" s="478">
        <f t="shared" si="50"/>
        <v>0</v>
      </c>
      <c r="P143" s="478">
        <f t="shared" si="51"/>
        <v>0</v>
      </c>
    </row>
    <row r="144" spans="2:16">
      <c r="B144" s="160" t="str">
        <f t="shared" si="29"/>
        <v/>
      </c>
      <c r="C144" s="472">
        <f>IF(D93="","-",+C143+1)</f>
        <v>2051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46"/>
        <v>0</v>
      </c>
      <c r="G144" s="485">
        <f t="shared" si="47"/>
        <v>0</v>
      </c>
      <c r="H144" s="486">
        <f t="shared" si="44"/>
        <v>0</v>
      </c>
      <c r="I144" s="542">
        <f t="shared" si="45"/>
        <v>0</v>
      </c>
      <c r="J144" s="478">
        <f t="shared" si="48"/>
        <v>0</v>
      </c>
      <c r="K144" s="478"/>
      <c r="L144" s="487"/>
      <c r="M144" s="478">
        <f t="shared" si="49"/>
        <v>0</v>
      </c>
      <c r="N144" s="487"/>
      <c r="O144" s="478">
        <f t="shared" si="50"/>
        <v>0</v>
      </c>
      <c r="P144" s="478">
        <f t="shared" si="51"/>
        <v>0</v>
      </c>
    </row>
    <row r="145" spans="2:16">
      <c r="B145" s="160" t="str">
        <f t="shared" si="29"/>
        <v/>
      </c>
      <c r="C145" s="472">
        <f>IF(D93="","-",+C144+1)</f>
        <v>2052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46"/>
        <v>0</v>
      </c>
      <c r="G145" s="485">
        <f t="shared" si="47"/>
        <v>0</v>
      </c>
      <c r="H145" s="486">
        <f t="shared" si="44"/>
        <v>0</v>
      </c>
      <c r="I145" s="542">
        <f t="shared" si="45"/>
        <v>0</v>
      </c>
      <c r="J145" s="478">
        <f t="shared" si="48"/>
        <v>0</v>
      </c>
      <c r="K145" s="478"/>
      <c r="L145" s="487"/>
      <c r="M145" s="478">
        <f t="shared" si="49"/>
        <v>0</v>
      </c>
      <c r="N145" s="487"/>
      <c r="O145" s="478">
        <f t="shared" si="50"/>
        <v>0</v>
      </c>
      <c r="P145" s="478">
        <f t="shared" si="51"/>
        <v>0</v>
      </c>
    </row>
    <row r="146" spans="2:16">
      <c r="B146" s="160" t="str">
        <f t="shared" si="29"/>
        <v/>
      </c>
      <c r="C146" s="472">
        <f>IF(D93="","-",+C145+1)</f>
        <v>2053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46"/>
        <v>0</v>
      </c>
      <c r="G146" s="485">
        <f t="shared" si="47"/>
        <v>0</v>
      </c>
      <c r="H146" s="486">
        <f t="shared" si="44"/>
        <v>0</v>
      </c>
      <c r="I146" s="542">
        <f t="shared" si="45"/>
        <v>0</v>
      </c>
      <c r="J146" s="478">
        <f t="shared" si="48"/>
        <v>0</v>
      </c>
      <c r="K146" s="478"/>
      <c r="L146" s="487"/>
      <c r="M146" s="478">
        <f t="shared" si="49"/>
        <v>0</v>
      </c>
      <c r="N146" s="487"/>
      <c r="O146" s="478">
        <f t="shared" si="50"/>
        <v>0</v>
      </c>
      <c r="P146" s="478">
        <f t="shared" si="51"/>
        <v>0</v>
      </c>
    </row>
    <row r="147" spans="2:16">
      <c r="B147" s="160" t="str">
        <f t="shared" si="29"/>
        <v/>
      </c>
      <c r="C147" s="472">
        <f>IF(D93="","-",+C146+1)</f>
        <v>2054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46"/>
        <v>0</v>
      </c>
      <c r="G147" s="485">
        <f t="shared" si="47"/>
        <v>0</v>
      </c>
      <c r="H147" s="486">
        <f t="shared" si="44"/>
        <v>0</v>
      </c>
      <c r="I147" s="542">
        <f t="shared" si="45"/>
        <v>0</v>
      </c>
      <c r="J147" s="478">
        <f t="shared" si="48"/>
        <v>0</v>
      </c>
      <c r="K147" s="478"/>
      <c r="L147" s="487"/>
      <c r="M147" s="478">
        <f t="shared" si="49"/>
        <v>0</v>
      </c>
      <c r="N147" s="487"/>
      <c r="O147" s="478">
        <f t="shared" si="50"/>
        <v>0</v>
      </c>
      <c r="P147" s="478">
        <f t="shared" si="51"/>
        <v>0</v>
      </c>
    </row>
    <row r="148" spans="2:16">
      <c r="B148" s="160" t="str">
        <f t="shared" si="29"/>
        <v/>
      </c>
      <c r="C148" s="472">
        <f>IF(D93="","-",+C147+1)</f>
        <v>2055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46"/>
        <v>0</v>
      </c>
      <c r="G148" s="485">
        <f t="shared" si="47"/>
        <v>0</v>
      </c>
      <c r="H148" s="486">
        <f t="shared" si="44"/>
        <v>0</v>
      </c>
      <c r="I148" s="542">
        <f t="shared" si="45"/>
        <v>0</v>
      </c>
      <c r="J148" s="478">
        <f t="shared" si="48"/>
        <v>0</v>
      </c>
      <c r="K148" s="478"/>
      <c r="L148" s="487"/>
      <c r="M148" s="478">
        <f t="shared" si="49"/>
        <v>0</v>
      </c>
      <c r="N148" s="487"/>
      <c r="O148" s="478">
        <f t="shared" si="50"/>
        <v>0</v>
      </c>
      <c r="P148" s="478">
        <f t="shared" si="51"/>
        <v>0</v>
      </c>
    </row>
    <row r="149" spans="2:16">
      <c r="B149" s="160" t="str">
        <f t="shared" si="29"/>
        <v/>
      </c>
      <c r="C149" s="472">
        <f>IF(D93="","-",+C148+1)</f>
        <v>2056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46"/>
        <v>0</v>
      </c>
      <c r="G149" s="485">
        <f t="shared" si="47"/>
        <v>0</v>
      </c>
      <c r="H149" s="486">
        <f t="shared" si="44"/>
        <v>0</v>
      </c>
      <c r="I149" s="542">
        <f t="shared" si="45"/>
        <v>0</v>
      </c>
      <c r="J149" s="478">
        <f t="shared" si="48"/>
        <v>0</v>
      </c>
      <c r="K149" s="478"/>
      <c r="L149" s="487"/>
      <c r="M149" s="478">
        <f t="shared" si="49"/>
        <v>0</v>
      </c>
      <c r="N149" s="487"/>
      <c r="O149" s="478">
        <f t="shared" si="50"/>
        <v>0</v>
      </c>
      <c r="P149" s="478">
        <f t="shared" si="51"/>
        <v>0</v>
      </c>
    </row>
    <row r="150" spans="2:16">
      <c r="B150" s="160" t="str">
        <f t="shared" si="29"/>
        <v/>
      </c>
      <c r="C150" s="472">
        <f>IF(D93="","-",+C149+1)</f>
        <v>2057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46"/>
        <v>0</v>
      </c>
      <c r="G150" s="485">
        <f t="shared" si="47"/>
        <v>0</v>
      </c>
      <c r="H150" s="486">
        <f t="shared" si="44"/>
        <v>0</v>
      </c>
      <c r="I150" s="542">
        <f t="shared" si="45"/>
        <v>0</v>
      </c>
      <c r="J150" s="478">
        <f t="shared" si="48"/>
        <v>0</v>
      </c>
      <c r="K150" s="478"/>
      <c r="L150" s="487"/>
      <c r="M150" s="478">
        <f t="shared" si="49"/>
        <v>0</v>
      </c>
      <c r="N150" s="487"/>
      <c r="O150" s="478">
        <f t="shared" si="50"/>
        <v>0</v>
      </c>
      <c r="P150" s="478">
        <f t="shared" si="51"/>
        <v>0</v>
      </c>
    </row>
    <row r="151" spans="2:16">
      <c r="B151" s="160" t="str">
        <f t="shared" si="29"/>
        <v/>
      </c>
      <c r="C151" s="472">
        <f>IF(D93="","-",+C150+1)</f>
        <v>2058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46"/>
        <v>0</v>
      </c>
      <c r="G151" s="485">
        <f t="shared" si="47"/>
        <v>0</v>
      </c>
      <c r="H151" s="486">
        <f t="shared" si="44"/>
        <v>0</v>
      </c>
      <c r="I151" s="542">
        <f t="shared" si="45"/>
        <v>0</v>
      </c>
      <c r="J151" s="478">
        <f t="shared" si="48"/>
        <v>0</v>
      </c>
      <c r="K151" s="478"/>
      <c r="L151" s="487"/>
      <c r="M151" s="478">
        <f t="shared" si="49"/>
        <v>0</v>
      </c>
      <c r="N151" s="487"/>
      <c r="O151" s="478">
        <f t="shared" si="50"/>
        <v>0</v>
      </c>
      <c r="P151" s="478">
        <f t="shared" si="51"/>
        <v>0</v>
      </c>
    </row>
    <row r="152" spans="2:16">
      <c r="B152" s="160" t="str">
        <f t="shared" si="29"/>
        <v/>
      </c>
      <c r="C152" s="472">
        <f>IF(D93="","-",+C151+1)</f>
        <v>2059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46"/>
        <v>0</v>
      </c>
      <c r="G152" s="485">
        <f t="shared" si="47"/>
        <v>0</v>
      </c>
      <c r="H152" s="486">
        <f t="shared" si="44"/>
        <v>0</v>
      </c>
      <c r="I152" s="542">
        <f t="shared" si="45"/>
        <v>0</v>
      </c>
      <c r="J152" s="478">
        <f t="shared" si="48"/>
        <v>0</v>
      </c>
      <c r="K152" s="478"/>
      <c r="L152" s="487"/>
      <c r="M152" s="478">
        <f t="shared" si="49"/>
        <v>0</v>
      </c>
      <c r="N152" s="487"/>
      <c r="O152" s="478">
        <f t="shared" si="50"/>
        <v>0</v>
      </c>
      <c r="P152" s="478">
        <f t="shared" si="51"/>
        <v>0</v>
      </c>
    </row>
    <row r="153" spans="2:16">
      <c r="B153" s="160" t="str">
        <f t="shared" si="29"/>
        <v/>
      </c>
      <c r="C153" s="472">
        <f>IF(D93="","-",+C152+1)</f>
        <v>2060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46"/>
        <v>0</v>
      </c>
      <c r="G153" s="485">
        <f t="shared" si="47"/>
        <v>0</v>
      </c>
      <c r="H153" s="486">
        <f t="shared" si="44"/>
        <v>0</v>
      </c>
      <c r="I153" s="542">
        <f t="shared" si="45"/>
        <v>0</v>
      </c>
      <c r="J153" s="478">
        <f t="shared" si="48"/>
        <v>0</v>
      </c>
      <c r="K153" s="478"/>
      <c r="L153" s="487"/>
      <c r="M153" s="478">
        <f t="shared" si="49"/>
        <v>0</v>
      </c>
      <c r="N153" s="487"/>
      <c r="O153" s="478">
        <f t="shared" si="50"/>
        <v>0</v>
      </c>
      <c r="P153" s="478">
        <f t="shared" si="51"/>
        <v>0</v>
      </c>
    </row>
    <row r="154" spans="2:16" ht="13.5" thickBot="1">
      <c r="B154" s="160" t="str">
        <f t="shared" si="29"/>
        <v/>
      </c>
      <c r="C154" s="489">
        <f>IF(D93="","-",+C153+1)</f>
        <v>2061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6"/>
        <v>0</v>
      </c>
      <c r="G154" s="490">
        <f t="shared" si="47"/>
        <v>0</v>
      </c>
      <c r="H154" s="492">
        <f t="shared" ref="H154" si="52">+J$94*G154+E154</f>
        <v>0</v>
      </c>
      <c r="I154" s="545">
        <f t="shared" ref="I154" si="53">+J$95*G154+E154</f>
        <v>0</v>
      </c>
      <c r="J154" s="495">
        <f t="shared" si="48"/>
        <v>0</v>
      </c>
      <c r="K154" s="478"/>
      <c r="L154" s="494"/>
      <c r="M154" s="495">
        <f t="shared" si="49"/>
        <v>0</v>
      </c>
      <c r="N154" s="494"/>
      <c r="O154" s="495">
        <f t="shared" si="50"/>
        <v>0</v>
      </c>
      <c r="P154" s="495">
        <f t="shared" si="51"/>
        <v>0</v>
      </c>
    </row>
    <row r="155" spans="2:16">
      <c r="C155" s="347" t="s">
        <v>77</v>
      </c>
      <c r="D155" s="348"/>
      <c r="E155" s="348">
        <f>SUM(E99:E154)</f>
        <v>56133</v>
      </c>
      <c r="F155" s="348"/>
      <c r="G155" s="348"/>
      <c r="H155" s="348">
        <f>SUM(H99:H154)</f>
        <v>206613.99314961873</v>
      </c>
      <c r="I155" s="348">
        <f>SUM(I99:I154)</f>
        <v>206613.99314961873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48" priority="1" stopIfTrue="1" operator="equal">
      <formula>$I$10</formula>
    </cfRule>
  </conditionalFormatting>
  <conditionalFormatting sqref="C99:C154">
    <cfRule type="cellIs" dxfId="47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7">
    <tabColor rgb="FFC00000"/>
  </sheetPr>
  <dimension ref="A1:P162"/>
  <sheetViews>
    <sheetView zoomScaleNormal="100" zoomScaleSheetLayoutView="75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9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7184.4287124898146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7184.4287124898146</v>
      </c>
      <c r="O6" s="233"/>
      <c r="P6" s="233"/>
    </row>
    <row r="7" spans="1:16" ht="13.5" thickBot="1">
      <c r="C7" s="431" t="s">
        <v>46</v>
      </c>
      <c r="D7" s="432" t="s">
        <v>216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88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72551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2007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4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1687.2325581395348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2007</v>
      </c>
      <c r="D17" s="473">
        <v>72551</v>
      </c>
      <c r="E17" s="474">
        <v>863.70238095238085</v>
      </c>
      <c r="F17" s="473">
        <v>71687.297619047618</v>
      </c>
      <c r="G17" s="474">
        <v>11207.929543529199</v>
      </c>
      <c r="H17" s="481">
        <v>11207.929543529199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2008</v>
      </c>
      <c r="D18" s="479">
        <v>71687.297619047618</v>
      </c>
      <c r="E18" s="480">
        <v>1295.5535714285713</v>
      </c>
      <c r="F18" s="479">
        <v>70391.744047619053</v>
      </c>
      <c r="G18" s="480">
        <v>11452.836869621469</v>
      </c>
      <c r="H18" s="481">
        <v>11452.836869621469</v>
      </c>
      <c r="I18" s="475">
        <f t="shared" si="0"/>
        <v>0</v>
      </c>
      <c r="J18" s="475"/>
      <c r="K18" s="476">
        <v>0</v>
      </c>
      <c r="L18" s="478">
        <f t="shared" si="1"/>
        <v>0</v>
      </c>
      <c r="M18" s="476">
        <v>0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/>
      </c>
      <c r="C19" s="472">
        <f>IF(D11="","-",+C18+1)</f>
        <v>2009</v>
      </c>
      <c r="D19" s="479">
        <v>70391.744047619053</v>
      </c>
      <c r="E19" s="480">
        <v>1295.5535714285713</v>
      </c>
      <c r="F19" s="479">
        <v>69096.190476190488</v>
      </c>
      <c r="G19" s="480">
        <v>11265.893005237553</v>
      </c>
      <c r="H19" s="481">
        <v>11265.893005237553</v>
      </c>
      <c r="I19" s="475">
        <f t="shared" si="0"/>
        <v>0</v>
      </c>
      <c r="J19" s="475"/>
      <c r="K19" s="476">
        <v>0</v>
      </c>
      <c r="L19" s="478">
        <f t="shared" si="1"/>
        <v>0</v>
      </c>
      <c r="M19" s="476">
        <v>0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4">IF(D20=F19,"","IU")</f>
        <v/>
      </c>
      <c r="C20" s="472">
        <f>IF(D11="","-",+C19+1)</f>
        <v>2010</v>
      </c>
      <c r="D20" s="479">
        <v>69096.190476190488</v>
      </c>
      <c r="E20" s="480">
        <v>1295.5535714285713</v>
      </c>
      <c r="F20" s="479">
        <v>67800.636904761923</v>
      </c>
      <c r="G20" s="480">
        <v>11078.949140853634</v>
      </c>
      <c r="H20" s="481">
        <v>11078.949140853634</v>
      </c>
      <c r="I20" s="475">
        <f t="shared" si="0"/>
        <v>0</v>
      </c>
      <c r="J20" s="475"/>
      <c r="K20" s="540">
        <f t="shared" ref="K20:K25" si="5">G20</f>
        <v>11078.949140853634</v>
      </c>
      <c r="L20" s="541">
        <f t="shared" si="1"/>
        <v>0</v>
      </c>
      <c r="M20" s="540">
        <f t="shared" ref="M20:M25" si="6">H20</f>
        <v>11078.949140853634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4"/>
        <v/>
      </c>
      <c r="C21" s="472">
        <f>IF(D11="","-",+C20+1)</f>
        <v>2011</v>
      </c>
      <c r="D21" s="479">
        <v>67800.636904761923</v>
      </c>
      <c r="E21" s="480">
        <v>1422.5686274509803</v>
      </c>
      <c r="F21" s="479">
        <v>66378.068277310944</v>
      </c>
      <c r="G21" s="480">
        <v>11813.613268851301</v>
      </c>
      <c r="H21" s="481">
        <v>11813.613268851301</v>
      </c>
      <c r="I21" s="475">
        <f t="shared" si="0"/>
        <v>0</v>
      </c>
      <c r="J21" s="475"/>
      <c r="K21" s="476">
        <f t="shared" si="5"/>
        <v>11813.613268851301</v>
      </c>
      <c r="L21" s="550">
        <f t="shared" si="1"/>
        <v>0</v>
      </c>
      <c r="M21" s="476">
        <f t="shared" si="6"/>
        <v>11813.613268851301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si="4"/>
        <v/>
      </c>
      <c r="C22" s="472">
        <f>IF(D11="","-",+C21+1)</f>
        <v>2012</v>
      </c>
      <c r="D22" s="479">
        <v>66378.068277310944</v>
      </c>
      <c r="E22" s="480">
        <v>1395.2115384615386</v>
      </c>
      <c r="F22" s="479">
        <v>64982.856738849405</v>
      </c>
      <c r="G22" s="480">
        <v>10441.262785463339</v>
      </c>
      <c r="H22" s="481">
        <v>10441.262785463339</v>
      </c>
      <c r="I22" s="475">
        <f t="shared" si="0"/>
        <v>0</v>
      </c>
      <c r="J22" s="475"/>
      <c r="K22" s="476">
        <f t="shared" si="5"/>
        <v>10441.262785463339</v>
      </c>
      <c r="L22" s="550">
        <f t="shared" si="1"/>
        <v>0</v>
      </c>
      <c r="M22" s="476">
        <f t="shared" si="6"/>
        <v>10441.262785463339</v>
      </c>
      <c r="N22" s="478">
        <f t="shared" si="2"/>
        <v>0</v>
      </c>
      <c r="O22" s="478">
        <f t="shared" si="3"/>
        <v>0</v>
      </c>
      <c r="P22" s="243"/>
    </row>
    <row r="23" spans="2:16">
      <c r="B23" s="160" t="str">
        <f t="shared" si="4"/>
        <v/>
      </c>
      <c r="C23" s="472">
        <f>IF(D11="","-",+C22+1)</f>
        <v>2013</v>
      </c>
      <c r="D23" s="479">
        <v>64982.856738849405</v>
      </c>
      <c r="E23" s="480">
        <v>1395.2115384615386</v>
      </c>
      <c r="F23" s="479">
        <v>63587.645200387866</v>
      </c>
      <c r="G23" s="480">
        <v>10475.957148527981</v>
      </c>
      <c r="H23" s="481">
        <v>10475.957148527981</v>
      </c>
      <c r="I23" s="475">
        <v>0</v>
      </c>
      <c r="J23" s="475"/>
      <c r="K23" s="476">
        <f t="shared" si="5"/>
        <v>10475.957148527981</v>
      </c>
      <c r="L23" s="550">
        <f t="shared" ref="L23:L28" si="7">IF(K23&lt;&gt;0,+G23-K23,0)</f>
        <v>0</v>
      </c>
      <c r="M23" s="476">
        <f t="shared" si="6"/>
        <v>10475.957148527981</v>
      </c>
      <c r="N23" s="478">
        <f t="shared" ref="N23:N28" si="8">IF(M23&lt;&gt;0,+H23-M23,0)</f>
        <v>0</v>
      </c>
      <c r="O23" s="478">
        <f t="shared" ref="O23:O28" si="9">+N23-L23</f>
        <v>0</v>
      </c>
      <c r="P23" s="243"/>
    </row>
    <row r="24" spans="2:16">
      <c r="B24" s="160" t="str">
        <f t="shared" si="4"/>
        <v/>
      </c>
      <c r="C24" s="472">
        <f>IF(D11="","-",+C23+1)</f>
        <v>2014</v>
      </c>
      <c r="D24" s="479">
        <v>63587.645200387866</v>
      </c>
      <c r="E24" s="480">
        <v>1395.2115384615386</v>
      </c>
      <c r="F24" s="479">
        <v>62192.433661926327</v>
      </c>
      <c r="G24" s="480">
        <v>9956.5453160541092</v>
      </c>
      <c r="H24" s="481">
        <v>9956.5453160541092</v>
      </c>
      <c r="I24" s="475">
        <v>0</v>
      </c>
      <c r="J24" s="475"/>
      <c r="K24" s="476">
        <f t="shared" si="5"/>
        <v>9956.5453160541092</v>
      </c>
      <c r="L24" s="550">
        <f t="shared" si="7"/>
        <v>0</v>
      </c>
      <c r="M24" s="476">
        <f t="shared" si="6"/>
        <v>9956.5453160541092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4"/>
        <v/>
      </c>
      <c r="C25" s="472">
        <f>IF(D11="","-",+C24+1)</f>
        <v>2015</v>
      </c>
      <c r="D25" s="479">
        <v>62192.433661926327</v>
      </c>
      <c r="E25" s="480">
        <v>1395.2115384615386</v>
      </c>
      <c r="F25" s="479">
        <v>60797.222123464788</v>
      </c>
      <c r="G25" s="480">
        <v>9777.4252794187214</v>
      </c>
      <c r="H25" s="481">
        <v>9777.4252794187214</v>
      </c>
      <c r="I25" s="475">
        <v>0</v>
      </c>
      <c r="J25" s="475"/>
      <c r="K25" s="476">
        <f t="shared" si="5"/>
        <v>9777.4252794187214</v>
      </c>
      <c r="L25" s="550">
        <f t="shared" si="7"/>
        <v>0</v>
      </c>
      <c r="M25" s="476">
        <f t="shared" si="6"/>
        <v>9777.4252794187214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4"/>
        <v/>
      </c>
      <c r="C26" s="472">
        <f>IF(D11="","-",+C25+1)</f>
        <v>2016</v>
      </c>
      <c r="D26" s="479">
        <v>60797.222123464788</v>
      </c>
      <c r="E26" s="480">
        <v>1395.2115384615386</v>
      </c>
      <c r="F26" s="479">
        <v>59402.010585003249</v>
      </c>
      <c r="G26" s="480">
        <v>9186.357507240491</v>
      </c>
      <c r="H26" s="481">
        <v>9186.357507240491</v>
      </c>
      <c r="I26" s="475">
        <f t="shared" si="0"/>
        <v>0</v>
      </c>
      <c r="J26" s="475"/>
      <c r="K26" s="476">
        <f t="shared" ref="K26:K31" si="10">G26</f>
        <v>9186.357507240491</v>
      </c>
      <c r="L26" s="550">
        <f t="shared" si="7"/>
        <v>0</v>
      </c>
      <c r="M26" s="476">
        <f t="shared" ref="M26:M31" si="11">H26</f>
        <v>9186.357507240491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4"/>
        <v/>
      </c>
      <c r="C27" s="472">
        <f>IF(D11="","-",+C26+1)</f>
        <v>2017</v>
      </c>
      <c r="D27" s="479">
        <v>59402.010585003249</v>
      </c>
      <c r="E27" s="480">
        <v>1577.195652173913</v>
      </c>
      <c r="F27" s="479">
        <v>57824.814932829337</v>
      </c>
      <c r="G27" s="480">
        <v>8936.0194589414823</v>
      </c>
      <c r="H27" s="481">
        <v>8936.0194589414823</v>
      </c>
      <c r="I27" s="475">
        <f t="shared" si="0"/>
        <v>0</v>
      </c>
      <c r="J27" s="475"/>
      <c r="K27" s="476">
        <f t="shared" si="10"/>
        <v>8936.0194589414823</v>
      </c>
      <c r="L27" s="550">
        <f t="shared" si="7"/>
        <v>0</v>
      </c>
      <c r="M27" s="476">
        <f t="shared" si="11"/>
        <v>8936.0194589414823</v>
      </c>
      <c r="N27" s="478">
        <f t="shared" si="8"/>
        <v>0</v>
      </c>
      <c r="O27" s="478">
        <f t="shared" si="9"/>
        <v>0</v>
      </c>
      <c r="P27" s="243"/>
    </row>
    <row r="28" spans="2:16">
      <c r="B28" s="160" t="str">
        <f t="shared" si="4"/>
        <v/>
      </c>
      <c r="C28" s="472">
        <f>IF(D11="","-",+C27+1)</f>
        <v>2018</v>
      </c>
      <c r="D28" s="479">
        <v>57824.814932829337</v>
      </c>
      <c r="E28" s="480">
        <v>1612.2444444444445</v>
      </c>
      <c r="F28" s="479">
        <v>56212.570488384896</v>
      </c>
      <c r="G28" s="480">
        <v>9219.7957260985368</v>
      </c>
      <c r="H28" s="481">
        <v>9219.7957260985368</v>
      </c>
      <c r="I28" s="475">
        <f t="shared" si="0"/>
        <v>0</v>
      </c>
      <c r="J28" s="475"/>
      <c r="K28" s="476">
        <f t="shared" si="10"/>
        <v>9219.7957260985368</v>
      </c>
      <c r="L28" s="550">
        <f t="shared" si="7"/>
        <v>0</v>
      </c>
      <c r="M28" s="476">
        <f t="shared" si="11"/>
        <v>9219.7957260985368</v>
      </c>
      <c r="N28" s="478">
        <f t="shared" si="8"/>
        <v>0</v>
      </c>
      <c r="O28" s="478">
        <f t="shared" si="9"/>
        <v>0</v>
      </c>
      <c r="P28" s="243"/>
    </row>
    <row r="29" spans="2:16">
      <c r="B29" s="160" t="str">
        <f t="shared" si="4"/>
        <v/>
      </c>
      <c r="C29" s="472">
        <f>IF(D11="","-",+C28+1)</f>
        <v>2019</v>
      </c>
      <c r="D29" s="479">
        <v>56212.570488384896</v>
      </c>
      <c r="E29" s="480">
        <v>1612.2444444444445</v>
      </c>
      <c r="F29" s="479">
        <v>54600.326043940455</v>
      </c>
      <c r="G29" s="480">
        <v>9001.6019629756192</v>
      </c>
      <c r="H29" s="481">
        <v>9001.6019629756192</v>
      </c>
      <c r="I29" s="475">
        <f t="shared" si="0"/>
        <v>0</v>
      </c>
      <c r="J29" s="475"/>
      <c r="K29" s="476">
        <f t="shared" si="10"/>
        <v>9001.6019629756192</v>
      </c>
      <c r="L29" s="550">
        <f t="shared" ref="L29" si="12">IF(K29&lt;&gt;0,+G29-K29,0)</f>
        <v>0</v>
      </c>
      <c r="M29" s="476">
        <f t="shared" si="11"/>
        <v>9001.6019629756192</v>
      </c>
      <c r="N29" s="478">
        <f t="shared" ref="N29" si="13">IF(M29&lt;&gt;0,+H29-M29,0)</f>
        <v>0</v>
      </c>
      <c r="O29" s="478">
        <f t="shared" si="3"/>
        <v>0</v>
      </c>
      <c r="P29" s="243"/>
    </row>
    <row r="30" spans="2:16">
      <c r="B30" s="160" t="str">
        <f t="shared" si="4"/>
        <v/>
      </c>
      <c r="C30" s="472">
        <f>IF(D11="","-",+C29+1)</f>
        <v>2020</v>
      </c>
      <c r="D30" s="479">
        <v>54600.326043940455</v>
      </c>
      <c r="E30" s="480">
        <v>1727.4047619047619</v>
      </c>
      <c r="F30" s="479">
        <v>52872.921282035692</v>
      </c>
      <c r="G30" s="480">
        <v>7531.2168125199005</v>
      </c>
      <c r="H30" s="481">
        <v>7531.2168125199005</v>
      </c>
      <c r="I30" s="475">
        <f t="shared" si="0"/>
        <v>0</v>
      </c>
      <c r="J30" s="475"/>
      <c r="K30" s="476">
        <f t="shared" si="10"/>
        <v>7531.2168125199005</v>
      </c>
      <c r="L30" s="550">
        <f t="shared" ref="L30" si="14">IF(K30&lt;&gt;0,+G30-K30,0)</f>
        <v>0</v>
      </c>
      <c r="M30" s="476">
        <f t="shared" si="11"/>
        <v>7531.2168125199005</v>
      </c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4"/>
        <v>IU</v>
      </c>
      <c r="C31" s="472">
        <f>IF(D11="","-",+C30+1)</f>
        <v>2021</v>
      </c>
      <c r="D31" s="479">
        <v>52671.390726480109</v>
      </c>
      <c r="E31" s="480">
        <v>1687.2325581395348</v>
      </c>
      <c r="F31" s="479">
        <v>50984.158168340575</v>
      </c>
      <c r="G31" s="480">
        <v>7184.4287124898146</v>
      </c>
      <c r="H31" s="481">
        <v>7184.4287124898146</v>
      </c>
      <c r="I31" s="475">
        <f t="shared" si="0"/>
        <v>0</v>
      </c>
      <c r="J31" s="475"/>
      <c r="K31" s="476">
        <f t="shared" si="10"/>
        <v>7184.4287124898146</v>
      </c>
      <c r="L31" s="550">
        <f t="shared" ref="L31" si="15">IF(K31&lt;&gt;0,+G31-K31,0)</f>
        <v>0</v>
      </c>
      <c r="M31" s="476">
        <f t="shared" si="11"/>
        <v>7184.4287124898146</v>
      </c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4"/>
        <v>IU</v>
      </c>
      <c r="C32" s="472">
        <f>IF(D11="","-",+C31+1)</f>
        <v>2022</v>
      </c>
      <c r="D32" s="485">
        <f>IF(F31+SUM(E$17:E31)=D$10,F31,D$10-SUM(E$17:E31))</f>
        <v>51185.688723896128</v>
      </c>
      <c r="E32" s="484">
        <f>IF(+I14&lt;F31,I14,D32)</f>
        <v>1687.2325581395348</v>
      </c>
      <c r="F32" s="485">
        <f t="shared" ref="F32:F48" si="16">+D32-E32</f>
        <v>49498.456165756594</v>
      </c>
      <c r="G32" s="486">
        <f t="shared" ref="G32:G72" si="17">(D32+F32)/2*I$12+E32</f>
        <v>7479.4069228745375</v>
      </c>
      <c r="H32" s="455">
        <f t="shared" ref="H32:H72" si="18">+(D32+F32)/2*I$13+E32</f>
        <v>7479.4069228745375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4"/>
        <v/>
      </c>
      <c r="C33" s="472">
        <f>IF(D11="","-",+C32+1)</f>
        <v>2023</v>
      </c>
      <c r="D33" s="485">
        <f>IF(F32+SUM(E$17:E32)=D$10,F32,D$10-SUM(E$17:E32))</f>
        <v>49498.456165756594</v>
      </c>
      <c r="E33" s="484">
        <f>IF(+I14&lt;F32,I14,D33)</f>
        <v>1687.2325581395348</v>
      </c>
      <c r="F33" s="485">
        <f t="shared" si="16"/>
        <v>47811.223607617059</v>
      </c>
      <c r="G33" s="486">
        <f t="shared" si="17"/>
        <v>7285.2801280090152</v>
      </c>
      <c r="H33" s="455">
        <f t="shared" si="18"/>
        <v>7285.2801280090152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4"/>
        <v/>
      </c>
      <c r="C34" s="472">
        <f>IF(D11="","-",+C33+1)</f>
        <v>2024</v>
      </c>
      <c r="D34" s="485">
        <f>IF(F33+SUM(E$17:E33)=D$10,F33,D$10-SUM(E$17:E33))</f>
        <v>47811.223607617059</v>
      </c>
      <c r="E34" s="484">
        <f>IF(+I14&lt;F33,I14,D34)</f>
        <v>1687.2325581395348</v>
      </c>
      <c r="F34" s="485">
        <f t="shared" si="16"/>
        <v>46123.991049477525</v>
      </c>
      <c r="G34" s="486">
        <f t="shared" si="17"/>
        <v>7091.153333143493</v>
      </c>
      <c r="H34" s="455">
        <f t="shared" si="18"/>
        <v>7091.153333143493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4"/>
        <v/>
      </c>
      <c r="C35" s="472">
        <f>IF(D11="","-",+C34+1)</f>
        <v>2025</v>
      </c>
      <c r="D35" s="485">
        <f>IF(F34+SUM(E$17:E34)=D$10,F34,D$10-SUM(E$17:E34))</f>
        <v>46123.991049477525</v>
      </c>
      <c r="E35" s="484">
        <f>IF(+I14&lt;F34,I14,D35)</f>
        <v>1687.2325581395348</v>
      </c>
      <c r="F35" s="485">
        <f t="shared" si="16"/>
        <v>44436.758491337991</v>
      </c>
      <c r="G35" s="486">
        <f t="shared" si="17"/>
        <v>6897.0265382779708</v>
      </c>
      <c r="H35" s="455">
        <f t="shared" si="18"/>
        <v>6897.0265382779708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4"/>
        <v/>
      </c>
      <c r="C36" s="472">
        <f>IF(D11="","-",+C35+1)</f>
        <v>2026</v>
      </c>
      <c r="D36" s="485">
        <f>IF(F35+SUM(E$17:E35)=D$10,F35,D$10-SUM(E$17:E35))</f>
        <v>44436.758491337991</v>
      </c>
      <c r="E36" s="484">
        <f>IF(+I14&lt;F35,I14,D36)</f>
        <v>1687.2325581395348</v>
      </c>
      <c r="F36" s="485">
        <f t="shared" si="16"/>
        <v>42749.525933198456</v>
      </c>
      <c r="G36" s="486">
        <f t="shared" si="17"/>
        <v>6702.8997434124485</v>
      </c>
      <c r="H36" s="455">
        <f t="shared" si="18"/>
        <v>6702.8997434124485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4"/>
        <v/>
      </c>
      <c r="C37" s="472">
        <f>IF(D11="","-",+C36+1)</f>
        <v>2027</v>
      </c>
      <c r="D37" s="485">
        <f>IF(F36+SUM(E$17:E36)=D$10,F36,D$10-SUM(E$17:E36))</f>
        <v>42749.525933198456</v>
      </c>
      <c r="E37" s="484">
        <f>IF(+I14&lt;F36,I14,D37)</f>
        <v>1687.2325581395348</v>
      </c>
      <c r="F37" s="485">
        <f t="shared" si="16"/>
        <v>41062.293375058922</v>
      </c>
      <c r="G37" s="486">
        <f t="shared" si="17"/>
        <v>6508.7729485469263</v>
      </c>
      <c r="H37" s="455">
        <f t="shared" si="18"/>
        <v>6508.7729485469263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4"/>
        <v/>
      </c>
      <c r="C38" s="472">
        <f>IF(D11="","-",+C37+1)</f>
        <v>2028</v>
      </c>
      <c r="D38" s="485">
        <f>IF(F37+SUM(E$17:E37)=D$10,F37,D$10-SUM(E$17:E37))</f>
        <v>41062.293375058922</v>
      </c>
      <c r="E38" s="484">
        <f>IF(+I14&lt;F37,I14,D38)</f>
        <v>1687.2325581395348</v>
      </c>
      <c r="F38" s="485">
        <f t="shared" si="16"/>
        <v>39375.060816919387</v>
      </c>
      <c r="G38" s="486">
        <f t="shared" si="17"/>
        <v>6314.646153681404</v>
      </c>
      <c r="H38" s="455">
        <f t="shared" si="18"/>
        <v>6314.646153681404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4"/>
        <v/>
      </c>
      <c r="C39" s="472">
        <f>IF(D11="","-",+C38+1)</f>
        <v>2029</v>
      </c>
      <c r="D39" s="485">
        <f>IF(F38+SUM(E$17:E38)=D$10,F38,D$10-SUM(E$17:E38))</f>
        <v>39375.060816919387</v>
      </c>
      <c r="E39" s="484">
        <f>IF(+I14&lt;F38,I14,D39)</f>
        <v>1687.2325581395348</v>
      </c>
      <c r="F39" s="485">
        <f t="shared" si="16"/>
        <v>37687.828258779853</v>
      </c>
      <c r="G39" s="486">
        <f t="shared" si="17"/>
        <v>6120.51935881588</v>
      </c>
      <c r="H39" s="455">
        <f t="shared" si="18"/>
        <v>6120.51935881588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4"/>
        <v/>
      </c>
      <c r="C40" s="472">
        <f>IF(D11="","-",+C39+1)</f>
        <v>2030</v>
      </c>
      <c r="D40" s="485">
        <f>IF(F39+SUM(E$17:E39)=D$10,F39,D$10-SUM(E$17:E39))</f>
        <v>37687.828258779853</v>
      </c>
      <c r="E40" s="484">
        <f>IF(+I14&lt;F39,I14,D40)</f>
        <v>1687.2325581395348</v>
      </c>
      <c r="F40" s="485">
        <f t="shared" si="16"/>
        <v>36000.595700640319</v>
      </c>
      <c r="G40" s="486">
        <f t="shared" si="17"/>
        <v>5926.3925639503595</v>
      </c>
      <c r="H40" s="455">
        <f t="shared" si="18"/>
        <v>5926.3925639503595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4"/>
        <v/>
      </c>
      <c r="C41" s="472">
        <f>IF(D11="","-",+C40+1)</f>
        <v>2031</v>
      </c>
      <c r="D41" s="485">
        <f>IF(F40+SUM(E$17:E40)=D$10,F40,D$10-SUM(E$17:E40))</f>
        <v>36000.595700640319</v>
      </c>
      <c r="E41" s="484">
        <f>IF(+I14&lt;F40,I14,D41)</f>
        <v>1687.2325581395348</v>
      </c>
      <c r="F41" s="485">
        <f t="shared" si="16"/>
        <v>34313.363142500784</v>
      </c>
      <c r="G41" s="486">
        <f t="shared" si="17"/>
        <v>5732.2657690848364</v>
      </c>
      <c r="H41" s="455">
        <f t="shared" si="18"/>
        <v>5732.2657690848364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4"/>
        <v/>
      </c>
      <c r="C42" s="472">
        <f>IF(D11="","-",+C41+1)</f>
        <v>2032</v>
      </c>
      <c r="D42" s="485">
        <f>IF(F41+SUM(E$17:E41)=D$10,F41,D$10-SUM(E$17:E41))</f>
        <v>34313.363142500784</v>
      </c>
      <c r="E42" s="484">
        <f>IF(+I14&lt;F41,I14,D42)</f>
        <v>1687.2325581395348</v>
      </c>
      <c r="F42" s="485">
        <f t="shared" si="16"/>
        <v>32626.13058436125</v>
      </c>
      <c r="G42" s="486">
        <f t="shared" si="17"/>
        <v>5538.1389742193151</v>
      </c>
      <c r="H42" s="455">
        <f t="shared" si="18"/>
        <v>5538.1389742193151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4"/>
        <v/>
      </c>
      <c r="C43" s="472">
        <f>IF(D11="","-",+C42+1)</f>
        <v>2033</v>
      </c>
      <c r="D43" s="485">
        <f>IF(F42+SUM(E$17:E42)=D$10,F42,D$10-SUM(E$17:E42))</f>
        <v>32626.13058436125</v>
      </c>
      <c r="E43" s="484">
        <f>IF(+I14&lt;F42,I14,D43)</f>
        <v>1687.2325581395348</v>
      </c>
      <c r="F43" s="485">
        <f t="shared" si="16"/>
        <v>30938.898026221716</v>
      </c>
      <c r="G43" s="486">
        <f t="shared" si="17"/>
        <v>5344.0121793537919</v>
      </c>
      <c r="H43" s="455">
        <f t="shared" si="18"/>
        <v>5344.0121793537919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4"/>
        <v/>
      </c>
      <c r="C44" s="472">
        <f>IF(D11="","-",+C43+1)</f>
        <v>2034</v>
      </c>
      <c r="D44" s="485">
        <f>IF(F43+SUM(E$17:E43)=D$10,F43,D$10-SUM(E$17:E43))</f>
        <v>30938.898026221716</v>
      </c>
      <c r="E44" s="484">
        <f>IF(+I14&lt;F43,I14,D44)</f>
        <v>1687.2325581395348</v>
      </c>
      <c r="F44" s="485">
        <f t="shared" si="16"/>
        <v>29251.665468082181</v>
      </c>
      <c r="G44" s="486">
        <f t="shared" si="17"/>
        <v>5149.8853844882697</v>
      </c>
      <c r="H44" s="455">
        <f t="shared" si="18"/>
        <v>5149.8853844882697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4"/>
        <v/>
      </c>
      <c r="C45" s="472">
        <f>IF(D11="","-",+C44+1)</f>
        <v>2035</v>
      </c>
      <c r="D45" s="485">
        <f>IF(F44+SUM(E$17:E44)=D$10,F44,D$10-SUM(E$17:E44))</f>
        <v>29251.665468082181</v>
      </c>
      <c r="E45" s="484">
        <f>IF(+I14&lt;F44,I14,D45)</f>
        <v>1687.2325581395348</v>
      </c>
      <c r="F45" s="485">
        <f t="shared" si="16"/>
        <v>27564.432909942647</v>
      </c>
      <c r="G45" s="486">
        <f t="shared" si="17"/>
        <v>4955.7585896227474</v>
      </c>
      <c r="H45" s="455">
        <f t="shared" si="18"/>
        <v>4955.7585896227474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4"/>
        <v/>
      </c>
      <c r="C46" s="472">
        <f>IF(D11="","-",+C45+1)</f>
        <v>2036</v>
      </c>
      <c r="D46" s="485">
        <f>IF(F45+SUM(E$17:E45)=D$10,F45,D$10-SUM(E$17:E45))</f>
        <v>27564.432909942647</v>
      </c>
      <c r="E46" s="484">
        <f>IF(+I14&lt;F45,I14,D46)</f>
        <v>1687.2325581395348</v>
      </c>
      <c r="F46" s="485">
        <f t="shared" si="16"/>
        <v>25877.200351803112</v>
      </c>
      <c r="G46" s="486">
        <f t="shared" si="17"/>
        <v>4761.6317947572252</v>
      </c>
      <c r="H46" s="455">
        <f t="shared" si="18"/>
        <v>4761.6317947572252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4"/>
        <v/>
      </c>
      <c r="C47" s="472">
        <f>IF(D11="","-",+C46+1)</f>
        <v>2037</v>
      </c>
      <c r="D47" s="485">
        <f>IF(F46+SUM(E$17:E46)=D$10,F46,D$10-SUM(E$17:E46))</f>
        <v>25877.200351803112</v>
      </c>
      <c r="E47" s="484">
        <f>IF(+I14&lt;F46,I14,D47)</f>
        <v>1687.2325581395348</v>
      </c>
      <c r="F47" s="485">
        <f t="shared" si="16"/>
        <v>24189.967793663578</v>
      </c>
      <c r="G47" s="486">
        <f t="shared" si="17"/>
        <v>4567.504999891702</v>
      </c>
      <c r="H47" s="455">
        <f t="shared" si="18"/>
        <v>4567.504999891702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4"/>
        <v/>
      </c>
      <c r="C48" s="472">
        <f>IF(D11="","-",+C47+1)</f>
        <v>2038</v>
      </c>
      <c r="D48" s="485">
        <f>IF(F47+SUM(E$17:E47)=D$10,F47,D$10-SUM(E$17:E47))</f>
        <v>24189.967793663578</v>
      </c>
      <c r="E48" s="484">
        <f>IF(+I14&lt;F47,I14,D48)</f>
        <v>1687.2325581395348</v>
      </c>
      <c r="F48" s="485">
        <f t="shared" si="16"/>
        <v>22502.735235524044</v>
      </c>
      <c r="G48" s="486">
        <f t="shared" si="17"/>
        <v>4373.3782050261798</v>
      </c>
      <c r="H48" s="455">
        <f t="shared" si="18"/>
        <v>4373.3782050261798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4"/>
        <v/>
      </c>
      <c r="C49" s="472">
        <f>IF(D11="","-",+C48+1)</f>
        <v>2039</v>
      </c>
      <c r="D49" s="485">
        <f>IF(F48+SUM(E$17:E48)=D$10,F48,D$10-SUM(E$17:E48))</f>
        <v>22502.735235524044</v>
      </c>
      <c r="E49" s="484">
        <f>IF(+I14&lt;F48,I14,D49)</f>
        <v>1687.2325581395348</v>
      </c>
      <c r="F49" s="485">
        <f t="shared" ref="F49:F72" si="19">+D49-E49</f>
        <v>20815.502677384509</v>
      </c>
      <c r="G49" s="486">
        <f t="shared" si="17"/>
        <v>4179.2514101606575</v>
      </c>
      <c r="H49" s="455">
        <f t="shared" si="18"/>
        <v>4179.2514101606575</v>
      </c>
      <c r="I49" s="475">
        <f t="shared" ref="I49:I72" si="20">H49-G49</f>
        <v>0</v>
      </c>
      <c r="J49" s="475"/>
      <c r="K49" s="487"/>
      <c r="L49" s="478">
        <f t="shared" ref="L49:L72" si="21">IF(K49&lt;&gt;0,+G49-K49,0)</f>
        <v>0</v>
      </c>
      <c r="M49" s="487"/>
      <c r="N49" s="478">
        <f t="shared" ref="N49:N72" si="22">IF(M49&lt;&gt;0,+H49-M49,0)</f>
        <v>0</v>
      </c>
      <c r="O49" s="478">
        <f t="shared" ref="O49:O72" si="23">+N49-L49</f>
        <v>0</v>
      </c>
      <c r="P49" s="243"/>
    </row>
    <row r="50" spans="2:16">
      <c r="B50" s="160" t="str">
        <f t="shared" si="4"/>
        <v/>
      </c>
      <c r="C50" s="472">
        <f>IF(D11="","-",+C49+1)</f>
        <v>2040</v>
      </c>
      <c r="D50" s="485">
        <f>IF(F49+SUM(E$17:E49)=D$10,F49,D$10-SUM(E$17:E49))</f>
        <v>20815.502677384509</v>
      </c>
      <c r="E50" s="484">
        <f>IF(+I14&lt;F49,I14,D50)</f>
        <v>1687.2325581395348</v>
      </c>
      <c r="F50" s="485">
        <f t="shared" si="19"/>
        <v>19128.270119244975</v>
      </c>
      <c r="G50" s="486">
        <f t="shared" si="17"/>
        <v>3985.1246152951358</v>
      </c>
      <c r="H50" s="455">
        <f t="shared" si="18"/>
        <v>3985.1246152951358</v>
      </c>
      <c r="I50" s="475">
        <f t="shared" si="20"/>
        <v>0</v>
      </c>
      <c r="J50" s="475"/>
      <c r="K50" s="487"/>
      <c r="L50" s="478">
        <f t="shared" si="21"/>
        <v>0</v>
      </c>
      <c r="M50" s="487"/>
      <c r="N50" s="478">
        <f t="shared" si="22"/>
        <v>0</v>
      </c>
      <c r="O50" s="478">
        <f t="shared" si="23"/>
        <v>0</v>
      </c>
      <c r="P50" s="243"/>
    </row>
    <row r="51" spans="2:16">
      <c r="B51" s="160" t="str">
        <f t="shared" si="4"/>
        <v/>
      </c>
      <c r="C51" s="472">
        <f>IF(D11="","-",+C50+1)</f>
        <v>2041</v>
      </c>
      <c r="D51" s="485">
        <f>IF(F50+SUM(E$17:E50)=D$10,F50,D$10-SUM(E$17:E50))</f>
        <v>19128.270119244975</v>
      </c>
      <c r="E51" s="484">
        <f>IF(+I14&lt;F50,I14,D51)</f>
        <v>1687.2325581395348</v>
      </c>
      <c r="F51" s="485">
        <f t="shared" si="19"/>
        <v>17441.037561105441</v>
      </c>
      <c r="G51" s="486">
        <f t="shared" si="17"/>
        <v>3790.9978204296135</v>
      </c>
      <c r="H51" s="455">
        <f t="shared" si="18"/>
        <v>3790.9978204296135</v>
      </c>
      <c r="I51" s="475">
        <f t="shared" si="20"/>
        <v>0</v>
      </c>
      <c r="J51" s="475"/>
      <c r="K51" s="487"/>
      <c r="L51" s="478">
        <f t="shared" si="21"/>
        <v>0</v>
      </c>
      <c r="M51" s="487"/>
      <c r="N51" s="478">
        <f t="shared" si="22"/>
        <v>0</v>
      </c>
      <c r="O51" s="478">
        <f t="shared" si="23"/>
        <v>0</v>
      </c>
      <c r="P51" s="243"/>
    </row>
    <row r="52" spans="2:16">
      <c r="B52" s="160" t="str">
        <f t="shared" si="4"/>
        <v/>
      </c>
      <c r="C52" s="472">
        <f>IF(D11="","-",+C51+1)</f>
        <v>2042</v>
      </c>
      <c r="D52" s="485">
        <f>IF(F51+SUM(E$17:E51)=D$10,F51,D$10-SUM(E$17:E51))</f>
        <v>17441.037561105441</v>
      </c>
      <c r="E52" s="484">
        <f>IF(+I14&lt;F51,I14,D52)</f>
        <v>1687.2325581395348</v>
      </c>
      <c r="F52" s="485">
        <f t="shared" si="19"/>
        <v>15753.805002965906</v>
      </c>
      <c r="G52" s="486">
        <f t="shared" si="17"/>
        <v>3596.8710255640908</v>
      </c>
      <c r="H52" s="455">
        <f t="shared" si="18"/>
        <v>3596.8710255640908</v>
      </c>
      <c r="I52" s="475">
        <f t="shared" si="20"/>
        <v>0</v>
      </c>
      <c r="J52" s="475"/>
      <c r="K52" s="487"/>
      <c r="L52" s="478">
        <f t="shared" si="21"/>
        <v>0</v>
      </c>
      <c r="M52" s="487"/>
      <c r="N52" s="478">
        <f t="shared" si="22"/>
        <v>0</v>
      </c>
      <c r="O52" s="478">
        <f t="shared" si="23"/>
        <v>0</v>
      </c>
      <c r="P52" s="243"/>
    </row>
    <row r="53" spans="2:16">
      <c r="B53" s="160" t="str">
        <f t="shared" si="4"/>
        <v/>
      </c>
      <c r="C53" s="472">
        <f>IF(D11="","-",+C52+1)</f>
        <v>2043</v>
      </c>
      <c r="D53" s="485">
        <f>IF(F52+SUM(E$17:E52)=D$10,F52,D$10-SUM(E$17:E52))</f>
        <v>15753.805002965906</v>
      </c>
      <c r="E53" s="484">
        <f>IF(+I14&lt;F52,I14,D53)</f>
        <v>1687.2325581395348</v>
      </c>
      <c r="F53" s="485">
        <f t="shared" si="19"/>
        <v>14066.572444826372</v>
      </c>
      <c r="G53" s="486">
        <f t="shared" si="17"/>
        <v>3402.7442306985686</v>
      </c>
      <c r="H53" s="455">
        <f t="shared" si="18"/>
        <v>3402.7442306985686</v>
      </c>
      <c r="I53" s="475">
        <f t="shared" si="20"/>
        <v>0</v>
      </c>
      <c r="J53" s="475"/>
      <c r="K53" s="487"/>
      <c r="L53" s="478">
        <f t="shared" si="21"/>
        <v>0</v>
      </c>
      <c r="M53" s="487"/>
      <c r="N53" s="478">
        <f t="shared" si="22"/>
        <v>0</v>
      </c>
      <c r="O53" s="478">
        <f t="shared" si="23"/>
        <v>0</v>
      </c>
      <c r="P53" s="243"/>
    </row>
    <row r="54" spans="2:16">
      <c r="B54" s="160" t="str">
        <f t="shared" si="4"/>
        <v/>
      </c>
      <c r="C54" s="472">
        <f>IF(D11="","-",+C53+1)</f>
        <v>2044</v>
      </c>
      <c r="D54" s="485">
        <f>IF(F53+SUM(E$17:E53)=D$10,F53,D$10-SUM(E$17:E53))</f>
        <v>14066.572444826372</v>
      </c>
      <c r="E54" s="484">
        <f>IF(+I14&lt;F53,I14,D54)</f>
        <v>1687.2325581395348</v>
      </c>
      <c r="F54" s="485">
        <f t="shared" si="19"/>
        <v>12379.339886686837</v>
      </c>
      <c r="G54" s="486">
        <f t="shared" si="17"/>
        <v>3208.6174358330463</v>
      </c>
      <c r="H54" s="455">
        <f t="shared" si="18"/>
        <v>3208.6174358330463</v>
      </c>
      <c r="I54" s="475">
        <f t="shared" si="20"/>
        <v>0</v>
      </c>
      <c r="J54" s="475"/>
      <c r="K54" s="487"/>
      <c r="L54" s="478">
        <f t="shared" si="21"/>
        <v>0</v>
      </c>
      <c r="M54" s="487"/>
      <c r="N54" s="478">
        <f t="shared" si="22"/>
        <v>0</v>
      </c>
      <c r="O54" s="478">
        <f t="shared" si="23"/>
        <v>0</v>
      </c>
      <c r="P54" s="243"/>
    </row>
    <row r="55" spans="2:16">
      <c r="B55" s="160" t="str">
        <f t="shared" si="4"/>
        <v/>
      </c>
      <c r="C55" s="472">
        <f>IF(D11="","-",+C54+1)</f>
        <v>2045</v>
      </c>
      <c r="D55" s="485">
        <f>IF(F54+SUM(E$17:E54)=D$10,F54,D$10-SUM(E$17:E54))</f>
        <v>12379.339886686837</v>
      </c>
      <c r="E55" s="484">
        <f>IF(+I14&lt;F54,I14,D55)</f>
        <v>1687.2325581395348</v>
      </c>
      <c r="F55" s="485">
        <f t="shared" si="19"/>
        <v>10692.107328547303</v>
      </c>
      <c r="G55" s="486">
        <f t="shared" si="17"/>
        <v>3014.4906409675241</v>
      </c>
      <c r="H55" s="455">
        <f t="shared" si="18"/>
        <v>3014.4906409675241</v>
      </c>
      <c r="I55" s="475">
        <f t="shared" si="20"/>
        <v>0</v>
      </c>
      <c r="J55" s="475"/>
      <c r="K55" s="487"/>
      <c r="L55" s="478">
        <f t="shared" si="21"/>
        <v>0</v>
      </c>
      <c r="M55" s="487"/>
      <c r="N55" s="478">
        <f t="shared" si="22"/>
        <v>0</v>
      </c>
      <c r="O55" s="478">
        <f t="shared" si="23"/>
        <v>0</v>
      </c>
      <c r="P55" s="243"/>
    </row>
    <row r="56" spans="2:16">
      <c r="B56" s="160" t="str">
        <f t="shared" si="4"/>
        <v/>
      </c>
      <c r="C56" s="472">
        <f>IF(D11="","-",+C55+1)</f>
        <v>2046</v>
      </c>
      <c r="D56" s="485">
        <f>IF(F55+SUM(E$17:E55)=D$10,F55,D$10-SUM(E$17:E55))</f>
        <v>10692.107328547303</v>
      </c>
      <c r="E56" s="484">
        <f>IF(+I14&lt;F55,I14,D56)</f>
        <v>1687.2325581395348</v>
      </c>
      <c r="F56" s="485">
        <f t="shared" si="19"/>
        <v>9004.8747704077687</v>
      </c>
      <c r="G56" s="486">
        <f t="shared" si="17"/>
        <v>2820.3638461020018</v>
      </c>
      <c r="H56" s="455">
        <f t="shared" si="18"/>
        <v>2820.3638461020018</v>
      </c>
      <c r="I56" s="475">
        <f t="shared" si="20"/>
        <v>0</v>
      </c>
      <c r="J56" s="475"/>
      <c r="K56" s="487"/>
      <c r="L56" s="478">
        <f t="shared" si="21"/>
        <v>0</v>
      </c>
      <c r="M56" s="487"/>
      <c r="N56" s="478">
        <f t="shared" si="22"/>
        <v>0</v>
      </c>
      <c r="O56" s="478">
        <f t="shared" si="23"/>
        <v>0</v>
      </c>
      <c r="P56" s="243"/>
    </row>
    <row r="57" spans="2:16">
      <c r="B57" s="160" t="str">
        <f t="shared" si="4"/>
        <v/>
      </c>
      <c r="C57" s="472">
        <f>IF(D11="","-",+C56+1)</f>
        <v>2047</v>
      </c>
      <c r="D57" s="485">
        <f>IF(F56+SUM(E$17:E56)=D$10,F56,D$10-SUM(E$17:E56))</f>
        <v>9004.8747704077687</v>
      </c>
      <c r="E57" s="484">
        <f>IF(+I14&lt;F56,I14,D57)</f>
        <v>1687.2325581395348</v>
      </c>
      <c r="F57" s="485">
        <f t="shared" si="19"/>
        <v>7317.6422122682343</v>
      </c>
      <c r="G57" s="486">
        <f t="shared" si="17"/>
        <v>2626.2370512364796</v>
      </c>
      <c r="H57" s="455">
        <f t="shared" si="18"/>
        <v>2626.2370512364796</v>
      </c>
      <c r="I57" s="475">
        <f t="shared" si="20"/>
        <v>0</v>
      </c>
      <c r="J57" s="475"/>
      <c r="K57" s="487"/>
      <c r="L57" s="478">
        <f t="shared" si="21"/>
        <v>0</v>
      </c>
      <c r="M57" s="487"/>
      <c r="N57" s="478">
        <f t="shared" si="22"/>
        <v>0</v>
      </c>
      <c r="O57" s="478">
        <f t="shared" si="23"/>
        <v>0</v>
      </c>
      <c r="P57" s="243"/>
    </row>
    <row r="58" spans="2:16">
      <c r="B58" s="160" t="str">
        <f t="shared" si="4"/>
        <v/>
      </c>
      <c r="C58" s="472">
        <f>IF(D11="","-",+C57+1)</f>
        <v>2048</v>
      </c>
      <c r="D58" s="485">
        <f>IF(F57+SUM(E$17:E57)=D$10,F57,D$10-SUM(E$17:E57))</f>
        <v>7317.6422122682343</v>
      </c>
      <c r="E58" s="484">
        <f>IF(+I14&lt;F57,I14,D58)</f>
        <v>1687.2325581395348</v>
      </c>
      <c r="F58" s="485">
        <f t="shared" si="19"/>
        <v>5630.4096541286999</v>
      </c>
      <c r="G58" s="486">
        <f t="shared" si="17"/>
        <v>2432.1102563709569</v>
      </c>
      <c r="H58" s="455">
        <f t="shared" si="18"/>
        <v>2432.1102563709569</v>
      </c>
      <c r="I58" s="475">
        <f t="shared" si="20"/>
        <v>0</v>
      </c>
      <c r="J58" s="475"/>
      <c r="K58" s="487"/>
      <c r="L58" s="478">
        <f t="shared" si="21"/>
        <v>0</v>
      </c>
      <c r="M58" s="487"/>
      <c r="N58" s="478">
        <f t="shared" si="22"/>
        <v>0</v>
      </c>
      <c r="O58" s="478">
        <f t="shared" si="23"/>
        <v>0</v>
      </c>
      <c r="P58" s="243"/>
    </row>
    <row r="59" spans="2:16">
      <c r="B59" s="160" t="str">
        <f t="shared" si="4"/>
        <v/>
      </c>
      <c r="C59" s="472">
        <f>IF(D11="","-",+C58+1)</f>
        <v>2049</v>
      </c>
      <c r="D59" s="485">
        <f>IF(F58+SUM(E$17:E58)=D$10,F58,D$10-SUM(E$17:E58))</f>
        <v>5630.4096541286999</v>
      </c>
      <c r="E59" s="484">
        <f>IF(+I14&lt;F58,I14,D59)</f>
        <v>1687.2325581395348</v>
      </c>
      <c r="F59" s="485">
        <f t="shared" si="19"/>
        <v>3943.1770959891651</v>
      </c>
      <c r="G59" s="486">
        <f t="shared" si="17"/>
        <v>2237.9834615054347</v>
      </c>
      <c r="H59" s="455">
        <f t="shared" si="18"/>
        <v>2237.9834615054347</v>
      </c>
      <c r="I59" s="475">
        <f t="shared" si="20"/>
        <v>0</v>
      </c>
      <c r="J59" s="475"/>
      <c r="K59" s="487"/>
      <c r="L59" s="478">
        <f t="shared" si="21"/>
        <v>0</v>
      </c>
      <c r="M59" s="487"/>
      <c r="N59" s="478">
        <f t="shared" si="22"/>
        <v>0</v>
      </c>
      <c r="O59" s="478">
        <f t="shared" si="23"/>
        <v>0</v>
      </c>
      <c r="P59" s="243"/>
    </row>
    <row r="60" spans="2:16">
      <c r="B60" s="160" t="str">
        <f t="shared" si="4"/>
        <v/>
      </c>
      <c r="C60" s="472">
        <f>IF(D11="","-",+C59+1)</f>
        <v>2050</v>
      </c>
      <c r="D60" s="485">
        <f>IF(F59+SUM(E$17:E59)=D$10,F59,D$10-SUM(E$17:E59))</f>
        <v>3943.1770959891651</v>
      </c>
      <c r="E60" s="484">
        <f>IF(+I14&lt;F59,I14,D60)</f>
        <v>1687.2325581395348</v>
      </c>
      <c r="F60" s="485">
        <f t="shared" si="19"/>
        <v>2255.9445378496303</v>
      </c>
      <c r="G60" s="486">
        <f t="shared" si="17"/>
        <v>2043.8566666399122</v>
      </c>
      <c r="H60" s="455">
        <f t="shared" si="18"/>
        <v>2043.8566666399122</v>
      </c>
      <c r="I60" s="475">
        <f t="shared" si="20"/>
        <v>0</v>
      </c>
      <c r="J60" s="475"/>
      <c r="K60" s="487"/>
      <c r="L60" s="478">
        <f t="shared" si="21"/>
        <v>0</v>
      </c>
      <c r="M60" s="487"/>
      <c r="N60" s="478">
        <f t="shared" si="22"/>
        <v>0</v>
      </c>
      <c r="O60" s="478">
        <f t="shared" si="23"/>
        <v>0</v>
      </c>
      <c r="P60" s="243"/>
    </row>
    <row r="61" spans="2:16">
      <c r="B61" s="160" t="str">
        <f t="shared" si="4"/>
        <v/>
      </c>
      <c r="C61" s="472">
        <f>IF(D11="","-",+C60+1)</f>
        <v>2051</v>
      </c>
      <c r="D61" s="485">
        <f>IF(F60+SUM(E$17:E60)=D$10,F60,D$10-SUM(E$17:E60))</f>
        <v>2255.9445378496303</v>
      </c>
      <c r="E61" s="484">
        <f>IF(+I14&lt;F60,I14,D61)</f>
        <v>1687.2325581395348</v>
      </c>
      <c r="F61" s="485">
        <f t="shared" si="19"/>
        <v>568.71197971009542</v>
      </c>
      <c r="G61" s="486">
        <f t="shared" si="17"/>
        <v>1849.7298717743899</v>
      </c>
      <c r="H61" s="455">
        <f t="shared" si="18"/>
        <v>1849.7298717743899</v>
      </c>
      <c r="I61" s="475">
        <f t="shared" si="20"/>
        <v>0</v>
      </c>
      <c r="J61" s="475"/>
      <c r="K61" s="487"/>
      <c r="L61" s="478">
        <f t="shared" si="21"/>
        <v>0</v>
      </c>
      <c r="M61" s="487"/>
      <c r="N61" s="478">
        <f t="shared" si="22"/>
        <v>0</v>
      </c>
      <c r="O61" s="478">
        <f t="shared" si="23"/>
        <v>0</v>
      </c>
      <c r="P61" s="243"/>
    </row>
    <row r="62" spans="2:16">
      <c r="B62" s="160" t="str">
        <f t="shared" si="4"/>
        <v/>
      </c>
      <c r="C62" s="472">
        <f>IF(D11="","-",+C61+1)</f>
        <v>2052</v>
      </c>
      <c r="D62" s="485">
        <f>IF(F61+SUM(E$17:E61)=D$10,F61,D$10-SUM(E$17:E61))</f>
        <v>568.71197971009542</v>
      </c>
      <c r="E62" s="484">
        <f>IF(+I14&lt;F61,I14,D62)</f>
        <v>568.71197971009542</v>
      </c>
      <c r="F62" s="485">
        <f t="shared" si="19"/>
        <v>0</v>
      </c>
      <c r="G62" s="486">
        <f t="shared" si="17"/>
        <v>601.4289378111423</v>
      </c>
      <c r="H62" s="455">
        <f t="shared" si="18"/>
        <v>601.4289378111423</v>
      </c>
      <c r="I62" s="475">
        <f t="shared" si="20"/>
        <v>0</v>
      </c>
      <c r="J62" s="475"/>
      <c r="K62" s="487"/>
      <c r="L62" s="478">
        <f t="shared" si="21"/>
        <v>0</v>
      </c>
      <c r="M62" s="487"/>
      <c r="N62" s="478">
        <f t="shared" si="22"/>
        <v>0</v>
      </c>
      <c r="O62" s="478">
        <f t="shared" si="23"/>
        <v>0</v>
      </c>
      <c r="P62" s="243"/>
    </row>
    <row r="63" spans="2:16">
      <c r="B63" s="160" t="str">
        <f t="shared" si="4"/>
        <v/>
      </c>
      <c r="C63" s="472">
        <f>IF(D11="","-",+C62+1)</f>
        <v>2053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9"/>
        <v>0</v>
      </c>
      <c r="G63" s="486">
        <f t="shared" si="17"/>
        <v>0</v>
      </c>
      <c r="H63" s="455">
        <f t="shared" si="18"/>
        <v>0</v>
      </c>
      <c r="I63" s="475">
        <f t="shared" si="20"/>
        <v>0</v>
      </c>
      <c r="J63" s="475"/>
      <c r="K63" s="487"/>
      <c r="L63" s="478">
        <f t="shared" si="21"/>
        <v>0</v>
      </c>
      <c r="M63" s="487"/>
      <c r="N63" s="478">
        <f t="shared" si="22"/>
        <v>0</v>
      </c>
      <c r="O63" s="478">
        <f t="shared" si="23"/>
        <v>0</v>
      </c>
      <c r="P63" s="243"/>
    </row>
    <row r="64" spans="2:16">
      <c r="B64" s="160" t="str">
        <f t="shared" si="4"/>
        <v/>
      </c>
      <c r="C64" s="472">
        <f>IF(D11="","-",+C63+1)</f>
        <v>2054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9"/>
        <v>0</v>
      </c>
      <c r="G64" s="486">
        <f t="shared" si="17"/>
        <v>0</v>
      </c>
      <c r="H64" s="455">
        <f t="shared" si="18"/>
        <v>0</v>
      </c>
      <c r="I64" s="475">
        <f t="shared" si="20"/>
        <v>0</v>
      </c>
      <c r="J64" s="475"/>
      <c r="K64" s="487"/>
      <c r="L64" s="478">
        <f t="shared" si="21"/>
        <v>0</v>
      </c>
      <c r="M64" s="487"/>
      <c r="N64" s="478">
        <f t="shared" si="22"/>
        <v>0</v>
      </c>
      <c r="O64" s="478">
        <f t="shared" si="23"/>
        <v>0</v>
      </c>
      <c r="P64" s="243"/>
    </row>
    <row r="65" spans="2:16">
      <c r="B65" s="160" t="str">
        <f t="shared" si="4"/>
        <v/>
      </c>
      <c r="C65" s="472">
        <f>IF(D11="","-",+C64+1)</f>
        <v>2055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9"/>
        <v>0</v>
      </c>
      <c r="G65" s="486">
        <f t="shared" si="17"/>
        <v>0</v>
      </c>
      <c r="H65" s="455">
        <f t="shared" si="18"/>
        <v>0</v>
      </c>
      <c r="I65" s="475">
        <f t="shared" si="20"/>
        <v>0</v>
      </c>
      <c r="J65" s="475"/>
      <c r="K65" s="487"/>
      <c r="L65" s="478">
        <f t="shared" si="21"/>
        <v>0</v>
      </c>
      <c r="M65" s="487"/>
      <c r="N65" s="478">
        <f t="shared" si="22"/>
        <v>0</v>
      </c>
      <c r="O65" s="478">
        <f t="shared" si="23"/>
        <v>0</v>
      </c>
      <c r="P65" s="243"/>
    </row>
    <row r="66" spans="2:16">
      <c r="B66" s="160" t="str">
        <f t="shared" si="4"/>
        <v/>
      </c>
      <c r="C66" s="472">
        <f>IF(D11="","-",+C65+1)</f>
        <v>2056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9"/>
        <v>0</v>
      </c>
      <c r="G66" s="486">
        <f t="shared" si="17"/>
        <v>0</v>
      </c>
      <c r="H66" s="455">
        <f t="shared" si="18"/>
        <v>0</v>
      </c>
      <c r="I66" s="475">
        <f t="shared" si="20"/>
        <v>0</v>
      </c>
      <c r="J66" s="475"/>
      <c r="K66" s="487"/>
      <c r="L66" s="478">
        <f t="shared" si="21"/>
        <v>0</v>
      </c>
      <c r="M66" s="487"/>
      <c r="N66" s="478">
        <f t="shared" si="22"/>
        <v>0</v>
      </c>
      <c r="O66" s="478">
        <f t="shared" si="23"/>
        <v>0</v>
      </c>
      <c r="P66" s="243"/>
    </row>
    <row r="67" spans="2:16">
      <c r="B67" s="160" t="str">
        <f t="shared" si="4"/>
        <v/>
      </c>
      <c r="C67" s="472">
        <f>IF(D11="","-",+C66+1)</f>
        <v>2057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9"/>
        <v>0</v>
      </c>
      <c r="G67" s="486">
        <f t="shared" si="17"/>
        <v>0</v>
      </c>
      <c r="H67" s="455">
        <f t="shared" si="18"/>
        <v>0</v>
      </c>
      <c r="I67" s="475">
        <f t="shared" si="20"/>
        <v>0</v>
      </c>
      <c r="J67" s="475"/>
      <c r="K67" s="487"/>
      <c r="L67" s="478">
        <f t="shared" si="21"/>
        <v>0</v>
      </c>
      <c r="M67" s="487"/>
      <c r="N67" s="478">
        <f t="shared" si="22"/>
        <v>0</v>
      </c>
      <c r="O67" s="478">
        <f t="shared" si="23"/>
        <v>0</v>
      </c>
      <c r="P67" s="243"/>
    </row>
    <row r="68" spans="2:16">
      <c r="B68" s="160" t="str">
        <f t="shared" si="4"/>
        <v/>
      </c>
      <c r="C68" s="472">
        <f>IF(D11="","-",+C67+1)</f>
        <v>2058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9"/>
        <v>0</v>
      </c>
      <c r="G68" s="486">
        <f t="shared" si="17"/>
        <v>0</v>
      </c>
      <c r="H68" s="455">
        <f t="shared" si="18"/>
        <v>0</v>
      </c>
      <c r="I68" s="475">
        <f t="shared" si="20"/>
        <v>0</v>
      </c>
      <c r="J68" s="475"/>
      <c r="K68" s="487"/>
      <c r="L68" s="478">
        <f t="shared" si="21"/>
        <v>0</v>
      </c>
      <c r="M68" s="487"/>
      <c r="N68" s="478">
        <f t="shared" si="22"/>
        <v>0</v>
      </c>
      <c r="O68" s="478">
        <f t="shared" si="23"/>
        <v>0</v>
      </c>
      <c r="P68" s="243"/>
    </row>
    <row r="69" spans="2:16">
      <c r="B69" s="160" t="str">
        <f t="shared" si="4"/>
        <v/>
      </c>
      <c r="C69" s="472">
        <f>IF(D11="","-",+C68+1)</f>
        <v>2059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9"/>
        <v>0</v>
      </c>
      <c r="G69" s="486">
        <f t="shared" si="17"/>
        <v>0</v>
      </c>
      <c r="H69" s="455">
        <f t="shared" si="18"/>
        <v>0</v>
      </c>
      <c r="I69" s="475">
        <f t="shared" si="20"/>
        <v>0</v>
      </c>
      <c r="J69" s="475"/>
      <c r="K69" s="487"/>
      <c r="L69" s="478">
        <f t="shared" si="21"/>
        <v>0</v>
      </c>
      <c r="M69" s="487"/>
      <c r="N69" s="478">
        <f t="shared" si="22"/>
        <v>0</v>
      </c>
      <c r="O69" s="478">
        <f t="shared" si="23"/>
        <v>0</v>
      </c>
      <c r="P69" s="243"/>
    </row>
    <row r="70" spans="2:16">
      <c r="B70" s="160" t="str">
        <f t="shared" si="4"/>
        <v/>
      </c>
      <c r="C70" s="472">
        <f>IF(D11="","-",+C69+1)</f>
        <v>2060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9"/>
        <v>0</v>
      </c>
      <c r="G70" s="486">
        <f t="shared" si="17"/>
        <v>0</v>
      </c>
      <c r="H70" s="455">
        <f t="shared" si="18"/>
        <v>0</v>
      </c>
      <c r="I70" s="475">
        <f t="shared" si="20"/>
        <v>0</v>
      </c>
      <c r="J70" s="475"/>
      <c r="K70" s="487"/>
      <c r="L70" s="478">
        <f t="shared" si="21"/>
        <v>0</v>
      </c>
      <c r="M70" s="487"/>
      <c r="N70" s="478">
        <f t="shared" si="22"/>
        <v>0</v>
      </c>
      <c r="O70" s="478">
        <f t="shared" si="23"/>
        <v>0</v>
      </c>
      <c r="P70" s="243"/>
    </row>
    <row r="71" spans="2:16">
      <c r="B71" s="160" t="str">
        <f t="shared" si="4"/>
        <v/>
      </c>
      <c r="C71" s="472">
        <f>IF(D11="","-",+C70+1)</f>
        <v>2061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9"/>
        <v>0</v>
      </c>
      <c r="G71" s="486">
        <f t="shared" si="17"/>
        <v>0</v>
      </c>
      <c r="H71" s="455">
        <f t="shared" si="18"/>
        <v>0</v>
      </c>
      <c r="I71" s="475">
        <f t="shared" si="20"/>
        <v>0</v>
      </c>
      <c r="J71" s="475"/>
      <c r="K71" s="487"/>
      <c r="L71" s="478">
        <f t="shared" si="21"/>
        <v>0</v>
      </c>
      <c r="M71" s="487"/>
      <c r="N71" s="478">
        <f t="shared" si="22"/>
        <v>0</v>
      </c>
      <c r="O71" s="478">
        <f t="shared" si="23"/>
        <v>0</v>
      </c>
      <c r="P71" s="243"/>
    </row>
    <row r="72" spans="2:16" ht="13.5" thickBot="1">
      <c r="B72" s="160" t="str">
        <f t="shared" si="4"/>
        <v/>
      </c>
      <c r="C72" s="489">
        <f>IF(D11="","-",+C71+1)</f>
        <v>2062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9"/>
        <v>0</v>
      </c>
      <c r="G72" s="490">
        <f t="shared" si="17"/>
        <v>0</v>
      </c>
      <c r="H72" s="490">
        <f t="shared" si="18"/>
        <v>0</v>
      </c>
      <c r="I72" s="493">
        <f t="shared" si="20"/>
        <v>0</v>
      </c>
      <c r="J72" s="475"/>
      <c r="K72" s="494"/>
      <c r="L72" s="495">
        <f t="shared" si="21"/>
        <v>0</v>
      </c>
      <c r="M72" s="494"/>
      <c r="N72" s="495">
        <f t="shared" si="22"/>
        <v>0</v>
      </c>
      <c r="O72" s="495">
        <f t="shared" si="23"/>
        <v>0</v>
      </c>
      <c r="P72" s="243"/>
    </row>
    <row r="73" spans="2:16">
      <c r="C73" s="347" t="s">
        <v>77</v>
      </c>
      <c r="D73" s="348"/>
      <c r="E73" s="348">
        <f>SUM(E17:E72)</f>
        <v>72551.000000000015</v>
      </c>
      <c r="F73" s="348"/>
      <c r="G73" s="348">
        <f>SUM(G17:G72)</f>
        <v>289068.31339536828</v>
      </c>
      <c r="H73" s="348">
        <f>SUM(H17:H72)</f>
        <v>289068.31339536828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9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7184.4287124898146</v>
      </c>
      <c r="N87" s="508">
        <f>IF(J92&lt;D11,0,VLOOKUP(J92,C17:O72,11))</f>
        <v>7184.4287124898146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7721.9320395107143</v>
      </c>
      <c r="N88" s="512">
        <f>IF(J92&lt;D11,0,VLOOKUP(J92,C99:P154,7))</f>
        <v>7721.9320395107143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Tulsa Southeast Upgrade (repl switches)*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537.50332702089963</v>
      </c>
      <c r="N89" s="517">
        <f>+N88-N87</f>
        <v>537.50332702089963</v>
      </c>
      <c r="O89" s="518">
        <f>+O88-O87</f>
        <v>0</v>
      </c>
      <c r="P89" s="233"/>
    </row>
    <row r="90" spans="1:16" ht="13.5" thickBot="1">
      <c r="C90" s="496"/>
      <c r="D90" s="519" t="str">
        <f>D8</f>
        <v>DOES NOT MEET SPP $100,000 MINIMUM INVESTMENT FOR REGIONAL BPU SHARING.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TP2004033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72551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4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1770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2007</v>
      </c>
      <c r="D99" s="473">
        <v>0</v>
      </c>
      <c r="E99" s="480">
        <v>0</v>
      </c>
      <c r="F99" s="479">
        <v>72551</v>
      </c>
      <c r="G99" s="537">
        <v>36276</v>
      </c>
      <c r="H99" s="538">
        <v>5762</v>
      </c>
      <c r="I99" s="539">
        <v>5762</v>
      </c>
      <c r="J99" s="478">
        <f t="shared" ref="J99:J130" si="24">+I99-H99</f>
        <v>0</v>
      </c>
      <c r="K99" s="478"/>
      <c r="L99" s="554">
        <v>0</v>
      </c>
      <c r="M99" s="477">
        <f t="shared" ref="M99:M130" si="25">IF(L99&lt;&gt;0,+H99-L99,0)</f>
        <v>0</v>
      </c>
      <c r="N99" s="554">
        <v>0</v>
      </c>
      <c r="O99" s="477">
        <f t="shared" ref="O99:O130" si="26">IF(N99&lt;&gt;0,+I99-N99,0)</f>
        <v>0</v>
      </c>
      <c r="P99" s="477">
        <f t="shared" ref="P99:P130" si="27">+O99-M99</f>
        <v>0</v>
      </c>
    </row>
    <row r="100" spans="1:16">
      <c r="B100" s="160" t="str">
        <f>IF(D100=F99,"","IU")</f>
        <v/>
      </c>
      <c r="C100" s="472">
        <f>IF(D93="","-",+C99+1)</f>
        <v>2008</v>
      </c>
      <c r="D100" s="473">
        <v>72551</v>
      </c>
      <c r="E100" s="561">
        <v>1369</v>
      </c>
      <c r="F100" s="479">
        <v>71182</v>
      </c>
      <c r="G100" s="479">
        <v>71867</v>
      </c>
      <c r="H100" s="480">
        <v>12785</v>
      </c>
      <c r="I100" s="481">
        <v>12785</v>
      </c>
      <c r="J100" s="478">
        <f t="shared" si="24"/>
        <v>0</v>
      </c>
      <c r="K100" s="478"/>
      <c r="L100" s="476">
        <v>12785</v>
      </c>
      <c r="M100" s="478">
        <f t="shared" si="25"/>
        <v>0</v>
      </c>
      <c r="N100" s="476">
        <v>12785</v>
      </c>
      <c r="O100" s="478">
        <f t="shared" si="26"/>
        <v>0</v>
      </c>
      <c r="P100" s="478">
        <f t="shared" si="27"/>
        <v>0</v>
      </c>
    </row>
    <row r="101" spans="1:16">
      <c r="B101" s="160" t="str">
        <f t="shared" ref="B101:B154" si="28">IF(D101=F100,"","IU")</f>
        <v/>
      </c>
      <c r="C101" s="472">
        <f>IF(D93="","-",+C100+1)</f>
        <v>2009</v>
      </c>
      <c r="D101" s="473">
        <v>71182</v>
      </c>
      <c r="E101" s="480">
        <v>1296</v>
      </c>
      <c r="F101" s="479">
        <v>69886</v>
      </c>
      <c r="G101" s="479">
        <v>70534</v>
      </c>
      <c r="H101" s="480">
        <v>11608.65494705257</v>
      </c>
      <c r="I101" s="481">
        <v>11608.65494705257</v>
      </c>
      <c r="J101" s="478">
        <f t="shared" si="24"/>
        <v>0</v>
      </c>
      <c r="K101" s="478"/>
      <c r="L101" s="540">
        <f t="shared" ref="L101:L106" si="29">H101</f>
        <v>11608.65494705257</v>
      </c>
      <c r="M101" s="541">
        <f t="shared" si="25"/>
        <v>0</v>
      </c>
      <c r="N101" s="540">
        <f t="shared" ref="N101:N106" si="30">I101</f>
        <v>11608.65494705257</v>
      </c>
      <c r="O101" s="478">
        <f t="shared" si="26"/>
        <v>0</v>
      </c>
      <c r="P101" s="478">
        <f t="shared" si="27"/>
        <v>0</v>
      </c>
    </row>
    <row r="102" spans="1:16">
      <c r="B102" s="160" t="str">
        <f t="shared" si="28"/>
        <v/>
      </c>
      <c r="C102" s="472">
        <f>IF(D93="","-",+C101+1)</f>
        <v>2010</v>
      </c>
      <c r="D102" s="473">
        <v>69886</v>
      </c>
      <c r="E102" s="480">
        <v>1423</v>
      </c>
      <c r="F102" s="479">
        <v>68463</v>
      </c>
      <c r="G102" s="479">
        <v>69174.5</v>
      </c>
      <c r="H102" s="480">
        <v>12547.312556925655</v>
      </c>
      <c r="I102" s="481">
        <v>12547.312556925655</v>
      </c>
      <c r="J102" s="478">
        <f t="shared" si="24"/>
        <v>0</v>
      </c>
      <c r="K102" s="478"/>
      <c r="L102" s="540">
        <f t="shared" si="29"/>
        <v>12547.312556925655</v>
      </c>
      <c r="M102" s="541">
        <f t="shared" si="25"/>
        <v>0</v>
      </c>
      <c r="N102" s="540">
        <f t="shared" si="30"/>
        <v>12547.312556925655</v>
      </c>
      <c r="O102" s="478">
        <f t="shared" si="26"/>
        <v>0</v>
      </c>
      <c r="P102" s="478">
        <f t="shared" si="27"/>
        <v>0</v>
      </c>
    </row>
    <row r="103" spans="1:16">
      <c r="B103" s="160" t="str">
        <f t="shared" si="28"/>
        <v/>
      </c>
      <c r="C103" s="472">
        <f>IF(D93="","-",+C102+1)</f>
        <v>2011</v>
      </c>
      <c r="D103" s="473">
        <v>68463</v>
      </c>
      <c r="E103" s="480">
        <v>1395</v>
      </c>
      <c r="F103" s="479">
        <v>67068</v>
      </c>
      <c r="G103" s="479">
        <v>67765.5</v>
      </c>
      <c r="H103" s="480">
        <v>10869.52752826227</v>
      </c>
      <c r="I103" s="481">
        <v>10869.52752826227</v>
      </c>
      <c r="J103" s="478">
        <f t="shared" si="24"/>
        <v>0</v>
      </c>
      <c r="K103" s="478"/>
      <c r="L103" s="540">
        <f t="shared" si="29"/>
        <v>10869.52752826227</v>
      </c>
      <c r="M103" s="541">
        <f t="shared" si="25"/>
        <v>0</v>
      </c>
      <c r="N103" s="540">
        <f t="shared" si="30"/>
        <v>10869.52752826227</v>
      </c>
      <c r="O103" s="478">
        <f t="shared" si="26"/>
        <v>0</v>
      </c>
      <c r="P103" s="478">
        <f t="shared" si="27"/>
        <v>0</v>
      </c>
    </row>
    <row r="104" spans="1:16">
      <c r="B104" s="160" t="str">
        <f t="shared" si="28"/>
        <v/>
      </c>
      <c r="C104" s="472">
        <f>IF(D93="","-",+C103+1)</f>
        <v>2012</v>
      </c>
      <c r="D104" s="473">
        <v>67068</v>
      </c>
      <c r="E104" s="480">
        <v>1395</v>
      </c>
      <c r="F104" s="479">
        <v>65673</v>
      </c>
      <c r="G104" s="479">
        <v>66370.5</v>
      </c>
      <c r="H104" s="480">
        <v>10942.760254640152</v>
      </c>
      <c r="I104" s="481">
        <v>10942.760254640152</v>
      </c>
      <c r="J104" s="478">
        <v>0</v>
      </c>
      <c r="K104" s="478"/>
      <c r="L104" s="540">
        <f t="shared" si="29"/>
        <v>10942.760254640152</v>
      </c>
      <c r="M104" s="541">
        <f t="shared" ref="M104:M109" si="31">IF(L104&lt;&gt;0,+H104-L104,0)</f>
        <v>0</v>
      </c>
      <c r="N104" s="540">
        <f t="shared" si="30"/>
        <v>10942.760254640152</v>
      </c>
      <c r="O104" s="478">
        <f t="shared" ref="O104:O109" si="32">IF(N104&lt;&gt;0,+I104-N104,0)</f>
        <v>0</v>
      </c>
      <c r="P104" s="478">
        <f t="shared" ref="P104:P109" si="33">+O104-M104</f>
        <v>0</v>
      </c>
    </row>
    <row r="105" spans="1:16">
      <c r="B105" s="160" t="str">
        <f t="shared" si="28"/>
        <v/>
      </c>
      <c r="C105" s="472">
        <f>IF(D93="","-",+C104+1)</f>
        <v>2013</v>
      </c>
      <c r="D105" s="473">
        <v>65673</v>
      </c>
      <c r="E105" s="480">
        <v>1395</v>
      </c>
      <c r="F105" s="479">
        <v>64278</v>
      </c>
      <c r="G105" s="479">
        <v>64975.5</v>
      </c>
      <c r="H105" s="480">
        <v>10747.547086020993</v>
      </c>
      <c r="I105" s="481">
        <v>10747.547086020993</v>
      </c>
      <c r="J105" s="478">
        <v>0</v>
      </c>
      <c r="K105" s="478"/>
      <c r="L105" s="540">
        <f t="shared" si="29"/>
        <v>10747.547086020993</v>
      </c>
      <c r="M105" s="541">
        <f t="shared" si="31"/>
        <v>0</v>
      </c>
      <c r="N105" s="540">
        <f t="shared" si="30"/>
        <v>10747.547086020993</v>
      </c>
      <c r="O105" s="478">
        <f t="shared" si="32"/>
        <v>0</v>
      </c>
      <c r="P105" s="478">
        <f t="shared" si="33"/>
        <v>0</v>
      </c>
    </row>
    <row r="106" spans="1:16">
      <c r="B106" s="160" t="str">
        <f t="shared" si="28"/>
        <v/>
      </c>
      <c r="C106" s="472">
        <f>IF(D93="","-",+C105+1)</f>
        <v>2014</v>
      </c>
      <c r="D106" s="473">
        <v>64278</v>
      </c>
      <c r="E106" s="480">
        <v>1395</v>
      </c>
      <c r="F106" s="479">
        <v>62883</v>
      </c>
      <c r="G106" s="479">
        <v>63580.5</v>
      </c>
      <c r="H106" s="480">
        <v>10334.158398344916</v>
      </c>
      <c r="I106" s="481">
        <v>10334.158398344916</v>
      </c>
      <c r="J106" s="478">
        <v>0</v>
      </c>
      <c r="K106" s="478"/>
      <c r="L106" s="540">
        <f t="shared" si="29"/>
        <v>10334.158398344916</v>
      </c>
      <c r="M106" s="541">
        <f t="shared" si="31"/>
        <v>0</v>
      </c>
      <c r="N106" s="540">
        <f t="shared" si="30"/>
        <v>10334.158398344916</v>
      </c>
      <c r="O106" s="478">
        <f t="shared" si="32"/>
        <v>0</v>
      </c>
      <c r="P106" s="478">
        <f t="shared" si="33"/>
        <v>0</v>
      </c>
    </row>
    <row r="107" spans="1:16">
      <c r="B107" s="160" t="str">
        <f t="shared" si="28"/>
        <v/>
      </c>
      <c r="C107" s="472">
        <f>IF(D93="","-",+C106+1)</f>
        <v>2015</v>
      </c>
      <c r="D107" s="473">
        <v>62883</v>
      </c>
      <c r="E107" s="480">
        <v>1395</v>
      </c>
      <c r="F107" s="479">
        <v>61488</v>
      </c>
      <c r="G107" s="479">
        <v>62185.5</v>
      </c>
      <c r="H107" s="480">
        <v>9879.7114789405332</v>
      </c>
      <c r="I107" s="481">
        <v>9879.7114789405332</v>
      </c>
      <c r="J107" s="478">
        <f t="shared" si="24"/>
        <v>0</v>
      </c>
      <c r="K107" s="478"/>
      <c r="L107" s="540">
        <f t="shared" ref="L107:L112" si="34">H107</f>
        <v>9879.7114789405332</v>
      </c>
      <c r="M107" s="541">
        <f t="shared" si="31"/>
        <v>0</v>
      </c>
      <c r="N107" s="540">
        <f t="shared" ref="N107:N112" si="35">I107</f>
        <v>9879.7114789405332</v>
      </c>
      <c r="O107" s="478">
        <f t="shared" si="32"/>
        <v>0</v>
      </c>
      <c r="P107" s="478">
        <f t="shared" si="33"/>
        <v>0</v>
      </c>
    </row>
    <row r="108" spans="1:16">
      <c r="B108" s="160" t="str">
        <f t="shared" si="28"/>
        <v/>
      </c>
      <c r="C108" s="472">
        <f>IF(D93="","-",+C107+1)</f>
        <v>2016</v>
      </c>
      <c r="D108" s="473">
        <v>61488</v>
      </c>
      <c r="E108" s="480">
        <v>1577</v>
      </c>
      <c r="F108" s="479">
        <v>59911</v>
      </c>
      <c r="G108" s="479">
        <v>60699.5</v>
      </c>
      <c r="H108" s="480">
        <v>9402.1214987986186</v>
      </c>
      <c r="I108" s="481">
        <v>9402.1214987986186</v>
      </c>
      <c r="J108" s="478">
        <f t="shared" si="24"/>
        <v>0</v>
      </c>
      <c r="K108" s="478"/>
      <c r="L108" s="540">
        <f t="shared" si="34"/>
        <v>9402.1214987986186</v>
      </c>
      <c r="M108" s="541">
        <f t="shared" si="31"/>
        <v>0</v>
      </c>
      <c r="N108" s="540">
        <f t="shared" si="35"/>
        <v>9402.1214987986186</v>
      </c>
      <c r="O108" s="478">
        <f t="shared" si="32"/>
        <v>0</v>
      </c>
      <c r="P108" s="478">
        <f t="shared" si="33"/>
        <v>0</v>
      </c>
    </row>
    <row r="109" spans="1:16">
      <c r="B109" s="160" t="str">
        <f t="shared" si="28"/>
        <v/>
      </c>
      <c r="C109" s="472">
        <f>IF(D93="","-",+C108+1)</f>
        <v>2017</v>
      </c>
      <c r="D109" s="473">
        <v>59911</v>
      </c>
      <c r="E109" s="480">
        <v>1577</v>
      </c>
      <c r="F109" s="479">
        <v>58334</v>
      </c>
      <c r="G109" s="479">
        <v>59122.5</v>
      </c>
      <c r="H109" s="480">
        <v>9076.8382024367129</v>
      </c>
      <c r="I109" s="481">
        <v>9076.8382024367129</v>
      </c>
      <c r="J109" s="478">
        <f t="shared" si="24"/>
        <v>0</v>
      </c>
      <c r="K109" s="478"/>
      <c r="L109" s="540">
        <f t="shared" si="34"/>
        <v>9076.8382024367129</v>
      </c>
      <c r="M109" s="541">
        <f t="shared" si="31"/>
        <v>0</v>
      </c>
      <c r="N109" s="540">
        <f t="shared" si="35"/>
        <v>9076.8382024367129</v>
      </c>
      <c r="O109" s="478">
        <f t="shared" si="32"/>
        <v>0</v>
      </c>
      <c r="P109" s="478">
        <f t="shared" si="33"/>
        <v>0</v>
      </c>
    </row>
    <row r="110" spans="1:16">
      <c r="B110" s="160" t="str">
        <f t="shared" si="28"/>
        <v/>
      </c>
      <c r="C110" s="472">
        <f>IF(D93="","-",+C109+1)</f>
        <v>2018</v>
      </c>
      <c r="D110" s="473">
        <v>58334</v>
      </c>
      <c r="E110" s="480">
        <v>1687</v>
      </c>
      <c r="F110" s="479">
        <v>56647</v>
      </c>
      <c r="G110" s="479">
        <v>57490.5</v>
      </c>
      <c r="H110" s="480">
        <v>7593.3191046629281</v>
      </c>
      <c r="I110" s="481">
        <v>7593.3191046629281</v>
      </c>
      <c r="J110" s="478">
        <f t="shared" si="24"/>
        <v>0</v>
      </c>
      <c r="K110" s="478"/>
      <c r="L110" s="540">
        <f t="shared" si="34"/>
        <v>7593.3191046629281</v>
      </c>
      <c r="M110" s="541">
        <f t="shared" ref="M110" si="36">IF(L110&lt;&gt;0,+H110-L110,0)</f>
        <v>0</v>
      </c>
      <c r="N110" s="540">
        <f t="shared" si="35"/>
        <v>7593.3191046629281</v>
      </c>
      <c r="O110" s="478">
        <f t="shared" ref="O110" si="37">IF(N110&lt;&gt;0,+I110-N110,0)</f>
        <v>0</v>
      </c>
      <c r="P110" s="478">
        <f t="shared" ref="P110" si="38">+O110-M110</f>
        <v>0</v>
      </c>
    </row>
    <row r="111" spans="1:16">
      <c r="B111" s="160" t="str">
        <f t="shared" si="28"/>
        <v/>
      </c>
      <c r="C111" s="472">
        <f>IF(D93="","-",+C110+1)</f>
        <v>2019</v>
      </c>
      <c r="D111" s="473">
        <v>56647</v>
      </c>
      <c r="E111" s="480">
        <v>1770</v>
      </c>
      <c r="F111" s="479">
        <v>54877</v>
      </c>
      <c r="G111" s="479">
        <v>55762</v>
      </c>
      <c r="H111" s="480">
        <v>7519.8443223081076</v>
      </c>
      <c r="I111" s="481">
        <v>7519.8443223081076</v>
      </c>
      <c r="J111" s="478">
        <f t="shared" si="24"/>
        <v>0</v>
      </c>
      <c r="K111" s="478"/>
      <c r="L111" s="540">
        <f t="shared" si="34"/>
        <v>7519.8443223081076</v>
      </c>
      <c r="M111" s="541">
        <f t="shared" ref="M111" si="39">IF(L111&lt;&gt;0,+H111-L111,0)</f>
        <v>0</v>
      </c>
      <c r="N111" s="540">
        <f t="shared" si="35"/>
        <v>7519.8443223081076</v>
      </c>
      <c r="O111" s="478">
        <f t="shared" si="26"/>
        <v>0</v>
      </c>
      <c r="P111" s="478">
        <f t="shared" si="27"/>
        <v>0</v>
      </c>
    </row>
    <row r="112" spans="1:16">
      <c r="B112" s="160" t="str">
        <f t="shared" si="28"/>
        <v/>
      </c>
      <c r="C112" s="472">
        <f>IF(D93="","-",+C111+1)</f>
        <v>2020</v>
      </c>
      <c r="D112" s="473">
        <v>54877</v>
      </c>
      <c r="E112" s="480">
        <v>1687</v>
      </c>
      <c r="F112" s="479">
        <v>53190</v>
      </c>
      <c r="G112" s="479">
        <v>54033.5</v>
      </c>
      <c r="H112" s="480">
        <v>7916.9139971406776</v>
      </c>
      <c r="I112" s="481">
        <v>7916.9139971406776</v>
      </c>
      <c r="J112" s="478">
        <f t="shared" si="24"/>
        <v>0</v>
      </c>
      <c r="K112" s="478"/>
      <c r="L112" s="540">
        <f t="shared" si="34"/>
        <v>7916.9139971406776</v>
      </c>
      <c r="M112" s="541">
        <f t="shared" ref="M112" si="40">IF(L112&lt;&gt;0,+H112-L112,0)</f>
        <v>0</v>
      </c>
      <c r="N112" s="540">
        <f t="shared" si="35"/>
        <v>7916.9139971406776</v>
      </c>
      <c r="O112" s="478">
        <f t="shared" si="26"/>
        <v>0</v>
      </c>
      <c r="P112" s="478">
        <f t="shared" si="27"/>
        <v>0</v>
      </c>
    </row>
    <row r="113" spans="2:16">
      <c r="B113" s="160" t="str">
        <f t="shared" si="28"/>
        <v/>
      </c>
      <c r="C113" s="472">
        <f>IF(D93="","-",+C112+1)</f>
        <v>2021</v>
      </c>
      <c r="D113" s="347">
        <f>IF(F112+SUM(E$99:E112)=D$92,F112,D$92-SUM(E$99:E112))</f>
        <v>53190</v>
      </c>
      <c r="E113" s="486">
        <f>IF(+J96&lt;F112,J96,D113)</f>
        <v>1770</v>
      </c>
      <c r="F113" s="485">
        <f t="shared" ref="F113:F154" si="41">+D113-E113</f>
        <v>51420</v>
      </c>
      <c r="G113" s="485">
        <f t="shared" ref="G113:G154" si="42">+(F113+D113)/2</f>
        <v>52305</v>
      </c>
      <c r="H113" s="486">
        <f t="shared" ref="H113:H153" si="43">(D113+F113)/2*J$94+E113</f>
        <v>7721.9320395107143</v>
      </c>
      <c r="I113" s="542">
        <f t="shared" ref="I113:I153" si="44">+J$95*G113+E113</f>
        <v>7721.9320395107143</v>
      </c>
      <c r="J113" s="478">
        <f t="shared" si="24"/>
        <v>0</v>
      </c>
      <c r="K113" s="478"/>
      <c r="L113" s="487"/>
      <c r="M113" s="478">
        <f t="shared" si="25"/>
        <v>0</v>
      </c>
      <c r="N113" s="487"/>
      <c r="O113" s="478">
        <f t="shared" si="26"/>
        <v>0</v>
      </c>
      <c r="P113" s="478">
        <f t="shared" si="27"/>
        <v>0</v>
      </c>
    </row>
    <row r="114" spans="2:16">
      <c r="B114" s="160" t="str">
        <f t="shared" si="28"/>
        <v/>
      </c>
      <c r="C114" s="472">
        <f>IF(D93="","-",+C113+1)</f>
        <v>2022</v>
      </c>
      <c r="D114" s="347">
        <f>IF(F113+SUM(E$99:E113)=D$92,F113,D$92-SUM(E$99:E113))</f>
        <v>51420</v>
      </c>
      <c r="E114" s="486">
        <f>IF(+J96&lt;F113,J96,D114)</f>
        <v>1770</v>
      </c>
      <c r="F114" s="485">
        <f t="shared" si="41"/>
        <v>49650</v>
      </c>
      <c r="G114" s="485">
        <f t="shared" si="42"/>
        <v>50535</v>
      </c>
      <c r="H114" s="486">
        <f t="shared" si="43"/>
        <v>7520.5187958450233</v>
      </c>
      <c r="I114" s="542">
        <f t="shared" si="44"/>
        <v>7520.5187958450233</v>
      </c>
      <c r="J114" s="478">
        <f t="shared" si="24"/>
        <v>0</v>
      </c>
      <c r="K114" s="478"/>
      <c r="L114" s="487"/>
      <c r="M114" s="478">
        <f t="shared" si="25"/>
        <v>0</v>
      </c>
      <c r="N114" s="487"/>
      <c r="O114" s="478">
        <f t="shared" si="26"/>
        <v>0</v>
      </c>
      <c r="P114" s="478">
        <f t="shared" si="27"/>
        <v>0</v>
      </c>
    </row>
    <row r="115" spans="2:16">
      <c r="B115" s="160" t="str">
        <f t="shared" si="28"/>
        <v/>
      </c>
      <c r="C115" s="472">
        <f>IF(D93="","-",+C114+1)</f>
        <v>2023</v>
      </c>
      <c r="D115" s="347">
        <f>IF(F114+SUM(E$99:E114)=D$92,F114,D$92-SUM(E$99:E114))</f>
        <v>49650</v>
      </c>
      <c r="E115" s="486">
        <f>IF(+J96&lt;F114,J96,D115)</f>
        <v>1770</v>
      </c>
      <c r="F115" s="485">
        <f t="shared" si="41"/>
        <v>47880</v>
      </c>
      <c r="G115" s="485">
        <f t="shared" si="42"/>
        <v>48765</v>
      </c>
      <c r="H115" s="486">
        <f t="shared" si="43"/>
        <v>7319.1055521793323</v>
      </c>
      <c r="I115" s="542">
        <f t="shared" si="44"/>
        <v>7319.1055521793323</v>
      </c>
      <c r="J115" s="478">
        <f t="shared" si="24"/>
        <v>0</v>
      </c>
      <c r="K115" s="478"/>
      <c r="L115" s="487"/>
      <c r="M115" s="478">
        <f t="shared" si="25"/>
        <v>0</v>
      </c>
      <c r="N115" s="487"/>
      <c r="O115" s="478">
        <f t="shared" si="26"/>
        <v>0</v>
      </c>
      <c r="P115" s="478">
        <f t="shared" si="27"/>
        <v>0</v>
      </c>
    </row>
    <row r="116" spans="2:16">
      <c r="B116" s="160" t="str">
        <f t="shared" si="28"/>
        <v/>
      </c>
      <c r="C116" s="472">
        <f>IF(D93="","-",+C115+1)</f>
        <v>2024</v>
      </c>
      <c r="D116" s="347">
        <f>IF(F115+SUM(E$99:E115)=D$92,F115,D$92-SUM(E$99:E115))</f>
        <v>47880</v>
      </c>
      <c r="E116" s="486">
        <f>IF(+J96&lt;F115,J96,D116)</f>
        <v>1770</v>
      </c>
      <c r="F116" s="485">
        <f t="shared" si="41"/>
        <v>46110</v>
      </c>
      <c r="G116" s="485">
        <f t="shared" si="42"/>
        <v>46995</v>
      </c>
      <c r="H116" s="486">
        <f t="shared" si="43"/>
        <v>7117.6923085136414</v>
      </c>
      <c r="I116" s="542">
        <f t="shared" si="44"/>
        <v>7117.6923085136414</v>
      </c>
      <c r="J116" s="478">
        <f t="shared" si="24"/>
        <v>0</v>
      </c>
      <c r="K116" s="478"/>
      <c r="L116" s="487"/>
      <c r="M116" s="478">
        <f t="shared" si="25"/>
        <v>0</v>
      </c>
      <c r="N116" s="487"/>
      <c r="O116" s="478">
        <f t="shared" si="26"/>
        <v>0</v>
      </c>
      <c r="P116" s="478">
        <f t="shared" si="27"/>
        <v>0</v>
      </c>
    </row>
    <row r="117" spans="2:16">
      <c r="B117" s="160" t="str">
        <f t="shared" si="28"/>
        <v/>
      </c>
      <c r="C117" s="472">
        <f>IF(D93="","-",+C116+1)</f>
        <v>2025</v>
      </c>
      <c r="D117" s="347">
        <f>IF(F116+SUM(E$99:E116)=D$92,F116,D$92-SUM(E$99:E116))</f>
        <v>46110</v>
      </c>
      <c r="E117" s="486">
        <f>IF(+J96&lt;F116,J96,D117)</f>
        <v>1770</v>
      </c>
      <c r="F117" s="485">
        <f t="shared" si="41"/>
        <v>44340</v>
      </c>
      <c r="G117" s="485">
        <f t="shared" si="42"/>
        <v>45225</v>
      </c>
      <c r="H117" s="486">
        <f t="shared" si="43"/>
        <v>6916.2790648479504</v>
      </c>
      <c r="I117" s="542">
        <f t="shared" si="44"/>
        <v>6916.2790648479504</v>
      </c>
      <c r="J117" s="478">
        <f t="shared" si="24"/>
        <v>0</v>
      </c>
      <c r="K117" s="478"/>
      <c r="L117" s="487"/>
      <c r="M117" s="478">
        <f t="shared" si="25"/>
        <v>0</v>
      </c>
      <c r="N117" s="487"/>
      <c r="O117" s="478">
        <f t="shared" si="26"/>
        <v>0</v>
      </c>
      <c r="P117" s="478">
        <f t="shared" si="27"/>
        <v>0</v>
      </c>
    </row>
    <row r="118" spans="2:16">
      <c r="B118" s="160" t="str">
        <f t="shared" si="28"/>
        <v/>
      </c>
      <c r="C118" s="472">
        <f>IF(D93="","-",+C117+1)</f>
        <v>2026</v>
      </c>
      <c r="D118" s="347">
        <f>IF(F117+SUM(E$99:E117)=D$92,F117,D$92-SUM(E$99:E117))</f>
        <v>44340</v>
      </c>
      <c r="E118" s="486">
        <f>IF(+J96&lt;F117,J96,D118)</f>
        <v>1770</v>
      </c>
      <c r="F118" s="485">
        <f t="shared" si="41"/>
        <v>42570</v>
      </c>
      <c r="G118" s="485">
        <f t="shared" si="42"/>
        <v>43455</v>
      </c>
      <c r="H118" s="486">
        <f t="shared" si="43"/>
        <v>6714.8658211822594</v>
      </c>
      <c r="I118" s="542">
        <f t="shared" si="44"/>
        <v>6714.8658211822594</v>
      </c>
      <c r="J118" s="478">
        <f t="shared" si="24"/>
        <v>0</v>
      </c>
      <c r="K118" s="478"/>
      <c r="L118" s="487"/>
      <c r="M118" s="478">
        <f t="shared" si="25"/>
        <v>0</v>
      </c>
      <c r="N118" s="487"/>
      <c r="O118" s="478">
        <f t="shared" si="26"/>
        <v>0</v>
      </c>
      <c r="P118" s="478">
        <f t="shared" si="27"/>
        <v>0</v>
      </c>
    </row>
    <row r="119" spans="2:16">
      <c r="B119" s="160" t="str">
        <f t="shared" si="28"/>
        <v/>
      </c>
      <c r="C119" s="472">
        <f>IF(D93="","-",+C118+1)</f>
        <v>2027</v>
      </c>
      <c r="D119" s="347">
        <f>IF(F118+SUM(E$99:E118)=D$92,F118,D$92-SUM(E$99:E118))</f>
        <v>42570</v>
      </c>
      <c r="E119" s="486">
        <f>IF(+J96&lt;F118,J96,D119)</f>
        <v>1770</v>
      </c>
      <c r="F119" s="485">
        <f t="shared" si="41"/>
        <v>40800</v>
      </c>
      <c r="G119" s="485">
        <f t="shared" si="42"/>
        <v>41685</v>
      </c>
      <c r="H119" s="486">
        <f t="shared" si="43"/>
        <v>6513.4525775165685</v>
      </c>
      <c r="I119" s="542">
        <f t="shared" si="44"/>
        <v>6513.4525775165685</v>
      </c>
      <c r="J119" s="478">
        <f t="shared" si="24"/>
        <v>0</v>
      </c>
      <c r="K119" s="478"/>
      <c r="L119" s="487"/>
      <c r="M119" s="478">
        <f t="shared" si="25"/>
        <v>0</v>
      </c>
      <c r="N119" s="487"/>
      <c r="O119" s="478">
        <f t="shared" si="26"/>
        <v>0</v>
      </c>
      <c r="P119" s="478">
        <f t="shared" si="27"/>
        <v>0</v>
      </c>
    </row>
    <row r="120" spans="2:16">
      <c r="B120" s="160" t="str">
        <f t="shared" si="28"/>
        <v/>
      </c>
      <c r="C120" s="472">
        <f>IF(D93="","-",+C119+1)</f>
        <v>2028</v>
      </c>
      <c r="D120" s="347">
        <f>IF(F119+SUM(E$99:E119)=D$92,F119,D$92-SUM(E$99:E119))</f>
        <v>40800</v>
      </c>
      <c r="E120" s="486">
        <f>IF(+J96&lt;F119,J96,D120)</f>
        <v>1770</v>
      </c>
      <c r="F120" s="485">
        <f t="shared" si="41"/>
        <v>39030</v>
      </c>
      <c r="G120" s="485">
        <f t="shared" si="42"/>
        <v>39915</v>
      </c>
      <c r="H120" s="486">
        <f t="shared" si="43"/>
        <v>6312.0393338508775</v>
      </c>
      <c r="I120" s="542">
        <f t="shared" si="44"/>
        <v>6312.0393338508775</v>
      </c>
      <c r="J120" s="478">
        <f t="shared" si="24"/>
        <v>0</v>
      </c>
      <c r="K120" s="478"/>
      <c r="L120" s="487"/>
      <c r="M120" s="478">
        <f t="shared" si="25"/>
        <v>0</v>
      </c>
      <c r="N120" s="487"/>
      <c r="O120" s="478">
        <f t="shared" si="26"/>
        <v>0</v>
      </c>
      <c r="P120" s="478">
        <f t="shared" si="27"/>
        <v>0</v>
      </c>
    </row>
    <row r="121" spans="2:16">
      <c r="B121" s="160" t="str">
        <f t="shared" si="28"/>
        <v/>
      </c>
      <c r="C121" s="472">
        <f>IF(D93="","-",+C120+1)</f>
        <v>2029</v>
      </c>
      <c r="D121" s="347">
        <f>IF(F120+SUM(E$99:E120)=D$92,F120,D$92-SUM(E$99:E120))</f>
        <v>39030</v>
      </c>
      <c r="E121" s="486">
        <f>IF(+J96&lt;F120,J96,D121)</f>
        <v>1770</v>
      </c>
      <c r="F121" s="485">
        <f t="shared" si="41"/>
        <v>37260</v>
      </c>
      <c r="G121" s="485">
        <f t="shared" si="42"/>
        <v>38145</v>
      </c>
      <c r="H121" s="486">
        <f t="shared" si="43"/>
        <v>6110.6260901851865</v>
      </c>
      <c r="I121" s="542">
        <f t="shared" si="44"/>
        <v>6110.6260901851865</v>
      </c>
      <c r="J121" s="478">
        <f t="shared" si="24"/>
        <v>0</v>
      </c>
      <c r="K121" s="478"/>
      <c r="L121" s="487"/>
      <c r="M121" s="478">
        <f t="shared" si="25"/>
        <v>0</v>
      </c>
      <c r="N121" s="487"/>
      <c r="O121" s="478">
        <f t="shared" si="26"/>
        <v>0</v>
      </c>
      <c r="P121" s="478">
        <f t="shared" si="27"/>
        <v>0</v>
      </c>
    </row>
    <row r="122" spans="2:16">
      <c r="B122" s="160" t="str">
        <f t="shared" si="28"/>
        <v/>
      </c>
      <c r="C122" s="472">
        <f>IF(D93="","-",+C121+1)</f>
        <v>2030</v>
      </c>
      <c r="D122" s="347">
        <f>IF(F121+SUM(E$99:E121)=D$92,F121,D$92-SUM(E$99:E121))</f>
        <v>37260</v>
      </c>
      <c r="E122" s="486">
        <f>IF(+J96&lt;F121,J96,D122)</f>
        <v>1770</v>
      </c>
      <c r="F122" s="485">
        <f t="shared" si="41"/>
        <v>35490</v>
      </c>
      <c r="G122" s="485">
        <f t="shared" si="42"/>
        <v>36375</v>
      </c>
      <c r="H122" s="486">
        <f t="shared" si="43"/>
        <v>5909.2128465194955</v>
      </c>
      <c r="I122" s="542">
        <f t="shared" si="44"/>
        <v>5909.2128465194955</v>
      </c>
      <c r="J122" s="478">
        <f t="shared" si="24"/>
        <v>0</v>
      </c>
      <c r="K122" s="478"/>
      <c r="L122" s="487"/>
      <c r="M122" s="478">
        <f t="shared" si="25"/>
        <v>0</v>
      </c>
      <c r="N122" s="487"/>
      <c r="O122" s="478">
        <f t="shared" si="26"/>
        <v>0</v>
      </c>
      <c r="P122" s="478">
        <f t="shared" si="27"/>
        <v>0</v>
      </c>
    </row>
    <row r="123" spans="2:16">
      <c r="B123" s="160" t="str">
        <f t="shared" si="28"/>
        <v/>
      </c>
      <c r="C123" s="472">
        <f>IF(D93="","-",+C122+1)</f>
        <v>2031</v>
      </c>
      <c r="D123" s="347">
        <f>IF(F122+SUM(E$99:E122)=D$92,F122,D$92-SUM(E$99:E122))</f>
        <v>35490</v>
      </c>
      <c r="E123" s="486">
        <f>IF(+J96&lt;F122,J96,D123)</f>
        <v>1770</v>
      </c>
      <c r="F123" s="485">
        <f t="shared" si="41"/>
        <v>33720</v>
      </c>
      <c r="G123" s="485">
        <f t="shared" si="42"/>
        <v>34605</v>
      </c>
      <c r="H123" s="486">
        <f t="shared" si="43"/>
        <v>5707.7996028538055</v>
      </c>
      <c r="I123" s="542">
        <f t="shared" si="44"/>
        <v>5707.7996028538055</v>
      </c>
      <c r="J123" s="478">
        <f t="shared" si="24"/>
        <v>0</v>
      </c>
      <c r="K123" s="478"/>
      <c r="L123" s="487"/>
      <c r="M123" s="478">
        <f t="shared" si="25"/>
        <v>0</v>
      </c>
      <c r="N123" s="487"/>
      <c r="O123" s="478">
        <f t="shared" si="26"/>
        <v>0</v>
      </c>
      <c r="P123" s="478">
        <f t="shared" si="27"/>
        <v>0</v>
      </c>
    </row>
    <row r="124" spans="2:16">
      <c r="B124" s="160" t="str">
        <f t="shared" si="28"/>
        <v/>
      </c>
      <c r="C124" s="472">
        <f>IF(D93="","-",+C123+1)</f>
        <v>2032</v>
      </c>
      <c r="D124" s="347">
        <f>IF(F123+SUM(E$99:E123)=D$92,F123,D$92-SUM(E$99:E123))</f>
        <v>33720</v>
      </c>
      <c r="E124" s="486">
        <f>IF(+J96&lt;F123,J96,D124)</f>
        <v>1770</v>
      </c>
      <c r="F124" s="485">
        <f t="shared" si="41"/>
        <v>31950</v>
      </c>
      <c r="G124" s="485">
        <f t="shared" si="42"/>
        <v>32835</v>
      </c>
      <c r="H124" s="486">
        <f t="shared" si="43"/>
        <v>5506.3863591881145</v>
      </c>
      <c r="I124" s="542">
        <f t="shared" si="44"/>
        <v>5506.3863591881145</v>
      </c>
      <c r="J124" s="478">
        <f t="shared" si="24"/>
        <v>0</v>
      </c>
      <c r="K124" s="478"/>
      <c r="L124" s="487"/>
      <c r="M124" s="478">
        <f t="shared" si="25"/>
        <v>0</v>
      </c>
      <c r="N124" s="487"/>
      <c r="O124" s="478">
        <f t="shared" si="26"/>
        <v>0</v>
      </c>
      <c r="P124" s="478">
        <f t="shared" si="27"/>
        <v>0</v>
      </c>
    </row>
    <row r="125" spans="2:16">
      <c r="B125" s="160" t="str">
        <f t="shared" si="28"/>
        <v/>
      </c>
      <c r="C125" s="472">
        <f>IF(D93="","-",+C124+1)</f>
        <v>2033</v>
      </c>
      <c r="D125" s="347">
        <f>IF(F124+SUM(E$99:E124)=D$92,F124,D$92-SUM(E$99:E124))</f>
        <v>31950</v>
      </c>
      <c r="E125" s="486">
        <f>IF(+J96&lt;F124,J96,D125)</f>
        <v>1770</v>
      </c>
      <c r="F125" s="485">
        <f t="shared" si="41"/>
        <v>30180</v>
      </c>
      <c r="G125" s="485">
        <f t="shared" si="42"/>
        <v>31065</v>
      </c>
      <c r="H125" s="486">
        <f t="shared" si="43"/>
        <v>5304.9731155224235</v>
      </c>
      <c r="I125" s="542">
        <f t="shared" si="44"/>
        <v>5304.9731155224235</v>
      </c>
      <c r="J125" s="478">
        <f t="shared" si="24"/>
        <v>0</v>
      </c>
      <c r="K125" s="478"/>
      <c r="L125" s="487"/>
      <c r="M125" s="478">
        <f t="shared" si="25"/>
        <v>0</v>
      </c>
      <c r="N125" s="487"/>
      <c r="O125" s="478">
        <f t="shared" si="26"/>
        <v>0</v>
      </c>
      <c r="P125" s="478">
        <f t="shared" si="27"/>
        <v>0</v>
      </c>
    </row>
    <row r="126" spans="2:16">
      <c r="B126" s="160" t="str">
        <f t="shared" si="28"/>
        <v/>
      </c>
      <c r="C126" s="472">
        <f>IF(D93="","-",+C125+1)</f>
        <v>2034</v>
      </c>
      <c r="D126" s="347">
        <f>IF(F125+SUM(E$99:E125)=D$92,F125,D$92-SUM(E$99:E125))</f>
        <v>30180</v>
      </c>
      <c r="E126" s="486">
        <f>IF(+J96&lt;F125,J96,D126)</f>
        <v>1770</v>
      </c>
      <c r="F126" s="485">
        <f t="shared" si="41"/>
        <v>28410</v>
      </c>
      <c r="G126" s="485">
        <f t="shared" si="42"/>
        <v>29295</v>
      </c>
      <c r="H126" s="486">
        <f t="shared" si="43"/>
        <v>5103.5598718567326</v>
      </c>
      <c r="I126" s="542">
        <f t="shared" si="44"/>
        <v>5103.5598718567326</v>
      </c>
      <c r="J126" s="478">
        <f t="shared" si="24"/>
        <v>0</v>
      </c>
      <c r="K126" s="478"/>
      <c r="L126" s="487"/>
      <c r="M126" s="478">
        <f t="shared" si="25"/>
        <v>0</v>
      </c>
      <c r="N126" s="487"/>
      <c r="O126" s="478">
        <f t="shared" si="26"/>
        <v>0</v>
      </c>
      <c r="P126" s="478">
        <f t="shared" si="27"/>
        <v>0</v>
      </c>
    </row>
    <row r="127" spans="2:16">
      <c r="B127" s="160" t="str">
        <f t="shared" si="28"/>
        <v/>
      </c>
      <c r="C127" s="472">
        <f>IF(D93="","-",+C126+1)</f>
        <v>2035</v>
      </c>
      <c r="D127" s="347">
        <f>IF(F126+SUM(E$99:E126)=D$92,F126,D$92-SUM(E$99:E126))</f>
        <v>28410</v>
      </c>
      <c r="E127" s="486">
        <f>IF(+J96&lt;F126,J96,D127)</f>
        <v>1770</v>
      </c>
      <c r="F127" s="485">
        <f t="shared" si="41"/>
        <v>26640</v>
      </c>
      <c r="G127" s="485">
        <f t="shared" si="42"/>
        <v>27525</v>
      </c>
      <c r="H127" s="486">
        <f t="shared" si="43"/>
        <v>4902.1466281910416</v>
      </c>
      <c r="I127" s="542">
        <f t="shared" si="44"/>
        <v>4902.1466281910416</v>
      </c>
      <c r="J127" s="478">
        <f t="shared" si="24"/>
        <v>0</v>
      </c>
      <c r="K127" s="478"/>
      <c r="L127" s="487"/>
      <c r="M127" s="478">
        <f t="shared" si="25"/>
        <v>0</v>
      </c>
      <c r="N127" s="487"/>
      <c r="O127" s="478">
        <f t="shared" si="26"/>
        <v>0</v>
      </c>
      <c r="P127" s="478">
        <f t="shared" si="27"/>
        <v>0</v>
      </c>
    </row>
    <row r="128" spans="2:16">
      <c r="B128" s="160" t="str">
        <f t="shared" si="28"/>
        <v/>
      </c>
      <c r="C128" s="472">
        <f>IF(D93="","-",+C127+1)</f>
        <v>2036</v>
      </c>
      <c r="D128" s="347">
        <f>IF(F127+SUM(E$99:E127)=D$92,F127,D$92-SUM(E$99:E127))</f>
        <v>26640</v>
      </c>
      <c r="E128" s="486">
        <f>IF(+J96&lt;F127,J96,D128)</f>
        <v>1770</v>
      </c>
      <c r="F128" s="485">
        <f t="shared" si="41"/>
        <v>24870</v>
      </c>
      <c r="G128" s="485">
        <f t="shared" si="42"/>
        <v>25755</v>
      </c>
      <c r="H128" s="486">
        <f t="shared" si="43"/>
        <v>4700.7333845253506</v>
      </c>
      <c r="I128" s="542">
        <f t="shared" si="44"/>
        <v>4700.7333845253506</v>
      </c>
      <c r="J128" s="478">
        <f t="shared" si="24"/>
        <v>0</v>
      </c>
      <c r="K128" s="478"/>
      <c r="L128" s="487"/>
      <c r="M128" s="478">
        <f t="shared" si="25"/>
        <v>0</v>
      </c>
      <c r="N128" s="487"/>
      <c r="O128" s="478">
        <f t="shared" si="26"/>
        <v>0</v>
      </c>
      <c r="P128" s="478">
        <f t="shared" si="27"/>
        <v>0</v>
      </c>
    </row>
    <row r="129" spans="2:16">
      <c r="B129" s="160" t="str">
        <f t="shared" si="28"/>
        <v/>
      </c>
      <c r="C129" s="472">
        <f>IF(D93="","-",+C128+1)</f>
        <v>2037</v>
      </c>
      <c r="D129" s="347">
        <f>IF(F128+SUM(E$99:E128)=D$92,F128,D$92-SUM(E$99:E128))</f>
        <v>24870</v>
      </c>
      <c r="E129" s="486">
        <f>IF(+J96&lt;F128,J96,D129)</f>
        <v>1770</v>
      </c>
      <c r="F129" s="485">
        <f t="shared" si="41"/>
        <v>23100</v>
      </c>
      <c r="G129" s="485">
        <f t="shared" si="42"/>
        <v>23985</v>
      </c>
      <c r="H129" s="486">
        <f t="shared" si="43"/>
        <v>4499.3201408596597</v>
      </c>
      <c r="I129" s="542">
        <f t="shared" si="44"/>
        <v>4499.3201408596597</v>
      </c>
      <c r="J129" s="478">
        <f t="shared" si="24"/>
        <v>0</v>
      </c>
      <c r="K129" s="478"/>
      <c r="L129" s="487"/>
      <c r="M129" s="478">
        <f t="shared" si="25"/>
        <v>0</v>
      </c>
      <c r="N129" s="487"/>
      <c r="O129" s="478">
        <f t="shared" si="26"/>
        <v>0</v>
      </c>
      <c r="P129" s="478">
        <f t="shared" si="27"/>
        <v>0</v>
      </c>
    </row>
    <row r="130" spans="2:16">
      <c r="B130" s="160" t="str">
        <f t="shared" si="28"/>
        <v/>
      </c>
      <c r="C130" s="472">
        <f>IF(D93="","-",+C129+1)</f>
        <v>2038</v>
      </c>
      <c r="D130" s="347">
        <f>IF(F129+SUM(E$99:E129)=D$92,F129,D$92-SUM(E$99:E129))</f>
        <v>23100</v>
      </c>
      <c r="E130" s="486">
        <f>IF(+J96&lt;F129,J96,D130)</f>
        <v>1770</v>
      </c>
      <c r="F130" s="485">
        <f t="shared" si="41"/>
        <v>21330</v>
      </c>
      <c r="G130" s="485">
        <f t="shared" si="42"/>
        <v>22215</v>
      </c>
      <c r="H130" s="486">
        <f t="shared" si="43"/>
        <v>4297.9068971939687</v>
      </c>
      <c r="I130" s="542">
        <f t="shared" si="44"/>
        <v>4297.9068971939687</v>
      </c>
      <c r="J130" s="478">
        <f t="shared" si="24"/>
        <v>0</v>
      </c>
      <c r="K130" s="478"/>
      <c r="L130" s="487"/>
      <c r="M130" s="478">
        <f t="shared" si="25"/>
        <v>0</v>
      </c>
      <c r="N130" s="487"/>
      <c r="O130" s="478">
        <f t="shared" si="26"/>
        <v>0</v>
      </c>
      <c r="P130" s="478">
        <f t="shared" si="27"/>
        <v>0</v>
      </c>
    </row>
    <row r="131" spans="2:16">
      <c r="B131" s="160" t="str">
        <f t="shared" si="28"/>
        <v/>
      </c>
      <c r="C131" s="472">
        <f>IF(D93="","-",+C130+1)</f>
        <v>2039</v>
      </c>
      <c r="D131" s="347">
        <f>IF(F130+SUM(E$99:E130)=D$92,F130,D$92-SUM(E$99:E130))</f>
        <v>21330</v>
      </c>
      <c r="E131" s="486">
        <f>IF(+J96&lt;F130,J96,D131)</f>
        <v>1770</v>
      </c>
      <c r="F131" s="485">
        <f t="shared" si="41"/>
        <v>19560</v>
      </c>
      <c r="G131" s="485">
        <f t="shared" si="42"/>
        <v>20445</v>
      </c>
      <c r="H131" s="486">
        <f t="shared" si="43"/>
        <v>4096.4936535282777</v>
      </c>
      <c r="I131" s="542">
        <f t="shared" si="44"/>
        <v>4096.4936535282777</v>
      </c>
      <c r="J131" s="478">
        <f t="shared" ref="J131:J154" si="45">+I541-H541</f>
        <v>0</v>
      </c>
      <c r="K131" s="478"/>
      <c r="L131" s="487"/>
      <c r="M131" s="478">
        <f t="shared" ref="M131:M154" si="46">IF(L541&lt;&gt;0,+H541-L541,0)</f>
        <v>0</v>
      </c>
      <c r="N131" s="487"/>
      <c r="O131" s="478">
        <f t="shared" ref="O131:O154" si="47">IF(N541&lt;&gt;0,+I541-N541,0)</f>
        <v>0</v>
      </c>
      <c r="P131" s="478">
        <f t="shared" ref="P131:P154" si="48">+O541-M541</f>
        <v>0</v>
      </c>
    </row>
    <row r="132" spans="2:16">
      <c r="B132" s="160" t="str">
        <f t="shared" si="28"/>
        <v/>
      </c>
      <c r="C132" s="472">
        <f>IF(D93="","-",+C131+1)</f>
        <v>2040</v>
      </c>
      <c r="D132" s="347">
        <f>IF(F131+SUM(E$99:E131)=D$92,F131,D$92-SUM(E$99:E131))</f>
        <v>19560</v>
      </c>
      <c r="E132" s="486">
        <f>IF(+J96&lt;F131,J96,D132)</f>
        <v>1770</v>
      </c>
      <c r="F132" s="485">
        <f t="shared" si="41"/>
        <v>17790</v>
      </c>
      <c r="G132" s="485">
        <f t="shared" si="42"/>
        <v>18675</v>
      </c>
      <c r="H132" s="486">
        <f t="shared" si="43"/>
        <v>3895.0804098625867</v>
      </c>
      <c r="I132" s="542">
        <f t="shared" si="44"/>
        <v>3895.0804098625867</v>
      </c>
      <c r="J132" s="478">
        <f t="shared" si="45"/>
        <v>0</v>
      </c>
      <c r="K132" s="478"/>
      <c r="L132" s="487"/>
      <c r="M132" s="478">
        <f t="shared" si="46"/>
        <v>0</v>
      </c>
      <c r="N132" s="487"/>
      <c r="O132" s="478">
        <f t="shared" si="47"/>
        <v>0</v>
      </c>
      <c r="P132" s="478">
        <f t="shared" si="48"/>
        <v>0</v>
      </c>
    </row>
    <row r="133" spans="2:16">
      <c r="B133" s="160" t="str">
        <f t="shared" si="28"/>
        <v/>
      </c>
      <c r="C133" s="472">
        <f>IF(D93="","-",+C132+1)</f>
        <v>2041</v>
      </c>
      <c r="D133" s="347">
        <f>IF(F132+SUM(E$99:E132)=D$92,F132,D$92-SUM(E$99:E132))</f>
        <v>17790</v>
      </c>
      <c r="E133" s="486">
        <f>IF(+J96&lt;F132,J96,D133)</f>
        <v>1770</v>
      </c>
      <c r="F133" s="485">
        <f t="shared" si="41"/>
        <v>16020</v>
      </c>
      <c r="G133" s="485">
        <f t="shared" si="42"/>
        <v>16905</v>
      </c>
      <c r="H133" s="486">
        <f t="shared" si="43"/>
        <v>3693.6671661968958</v>
      </c>
      <c r="I133" s="542">
        <f t="shared" si="44"/>
        <v>3693.6671661968958</v>
      </c>
      <c r="J133" s="478">
        <f t="shared" si="45"/>
        <v>0</v>
      </c>
      <c r="K133" s="478"/>
      <c r="L133" s="487"/>
      <c r="M133" s="478">
        <f t="shared" si="46"/>
        <v>0</v>
      </c>
      <c r="N133" s="487"/>
      <c r="O133" s="478">
        <f t="shared" si="47"/>
        <v>0</v>
      </c>
      <c r="P133" s="478">
        <f t="shared" si="48"/>
        <v>0</v>
      </c>
    </row>
    <row r="134" spans="2:16">
      <c r="B134" s="160" t="str">
        <f t="shared" si="28"/>
        <v/>
      </c>
      <c r="C134" s="472">
        <f>IF(D93="","-",+C133+1)</f>
        <v>2042</v>
      </c>
      <c r="D134" s="347">
        <f>IF(F133+SUM(E$99:E133)=D$92,F133,D$92-SUM(E$99:E133))</f>
        <v>16020</v>
      </c>
      <c r="E134" s="486">
        <f>IF(+J96&lt;F133,J96,D134)</f>
        <v>1770</v>
      </c>
      <c r="F134" s="485">
        <f t="shared" si="41"/>
        <v>14250</v>
      </c>
      <c r="G134" s="485">
        <f t="shared" si="42"/>
        <v>15135</v>
      </c>
      <c r="H134" s="486">
        <f t="shared" si="43"/>
        <v>3492.2539225312048</v>
      </c>
      <c r="I134" s="542">
        <f t="shared" si="44"/>
        <v>3492.2539225312048</v>
      </c>
      <c r="J134" s="478">
        <f t="shared" si="45"/>
        <v>0</v>
      </c>
      <c r="K134" s="478"/>
      <c r="L134" s="487"/>
      <c r="M134" s="478">
        <f t="shared" si="46"/>
        <v>0</v>
      </c>
      <c r="N134" s="487"/>
      <c r="O134" s="478">
        <f t="shared" si="47"/>
        <v>0</v>
      </c>
      <c r="P134" s="478">
        <f t="shared" si="48"/>
        <v>0</v>
      </c>
    </row>
    <row r="135" spans="2:16">
      <c r="B135" s="160" t="str">
        <f t="shared" si="28"/>
        <v/>
      </c>
      <c r="C135" s="472">
        <f>IF(D93="","-",+C134+1)</f>
        <v>2043</v>
      </c>
      <c r="D135" s="347">
        <f>IF(F134+SUM(E$99:E134)=D$92,F134,D$92-SUM(E$99:E134))</f>
        <v>14250</v>
      </c>
      <c r="E135" s="486">
        <f>IF(+J96&lt;F134,J96,D135)</f>
        <v>1770</v>
      </c>
      <c r="F135" s="485">
        <f t="shared" si="41"/>
        <v>12480</v>
      </c>
      <c r="G135" s="485">
        <f t="shared" si="42"/>
        <v>13365</v>
      </c>
      <c r="H135" s="486">
        <f t="shared" si="43"/>
        <v>3290.8406788655138</v>
      </c>
      <c r="I135" s="542">
        <f t="shared" si="44"/>
        <v>3290.8406788655138</v>
      </c>
      <c r="J135" s="478">
        <f t="shared" si="45"/>
        <v>0</v>
      </c>
      <c r="K135" s="478"/>
      <c r="L135" s="487"/>
      <c r="M135" s="478">
        <f t="shared" si="46"/>
        <v>0</v>
      </c>
      <c r="N135" s="487"/>
      <c r="O135" s="478">
        <f t="shared" si="47"/>
        <v>0</v>
      </c>
      <c r="P135" s="478">
        <f t="shared" si="48"/>
        <v>0</v>
      </c>
    </row>
    <row r="136" spans="2:16">
      <c r="B136" s="160" t="str">
        <f t="shared" si="28"/>
        <v/>
      </c>
      <c r="C136" s="472">
        <f>IF(D93="","-",+C135+1)</f>
        <v>2044</v>
      </c>
      <c r="D136" s="347">
        <f>IF(F135+SUM(E$99:E135)=D$92,F135,D$92-SUM(E$99:E135))</f>
        <v>12480</v>
      </c>
      <c r="E136" s="486">
        <f>IF(+J96&lt;F135,J96,D136)</f>
        <v>1770</v>
      </c>
      <c r="F136" s="485">
        <f t="shared" si="41"/>
        <v>10710</v>
      </c>
      <c r="G136" s="485">
        <f t="shared" si="42"/>
        <v>11595</v>
      </c>
      <c r="H136" s="486">
        <f t="shared" si="43"/>
        <v>3089.4274351998229</v>
      </c>
      <c r="I136" s="542">
        <f t="shared" si="44"/>
        <v>3089.4274351998229</v>
      </c>
      <c r="J136" s="478">
        <f t="shared" si="45"/>
        <v>0</v>
      </c>
      <c r="K136" s="478"/>
      <c r="L136" s="487"/>
      <c r="M136" s="478">
        <f t="shared" si="46"/>
        <v>0</v>
      </c>
      <c r="N136" s="487"/>
      <c r="O136" s="478">
        <f t="shared" si="47"/>
        <v>0</v>
      </c>
      <c r="P136" s="478">
        <f t="shared" si="48"/>
        <v>0</v>
      </c>
    </row>
    <row r="137" spans="2:16">
      <c r="B137" s="160" t="str">
        <f t="shared" si="28"/>
        <v/>
      </c>
      <c r="C137" s="472">
        <f>IF(D93="","-",+C136+1)</f>
        <v>2045</v>
      </c>
      <c r="D137" s="347">
        <f>IF(F136+SUM(E$99:E136)=D$92,F136,D$92-SUM(E$99:E136))</f>
        <v>10710</v>
      </c>
      <c r="E137" s="486">
        <f>IF(+J96&lt;F136,J96,D137)</f>
        <v>1770</v>
      </c>
      <c r="F137" s="485">
        <f t="shared" si="41"/>
        <v>8940</v>
      </c>
      <c r="G137" s="485">
        <f t="shared" si="42"/>
        <v>9825</v>
      </c>
      <c r="H137" s="486">
        <f t="shared" si="43"/>
        <v>2888.0141915341319</v>
      </c>
      <c r="I137" s="542">
        <f t="shared" si="44"/>
        <v>2888.0141915341319</v>
      </c>
      <c r="J137" s="478">
        <f t="shared" si="45"/>
        <v>0</v>
      </c>
      <c r="K137" s="478"/>
      <c r="L137" s="487"/>
      <c r="M137" s="478">
        <f t="shared" si="46"/>
        <v>0</v>
      </c>
      <c r="N137" s="487"/>
      <c r="O137" s="478">
        <f t="shared" si="47"/>
        <v>0</v>
      </c>
      <c r="P137" s="478">
        <f t="shared" si="48"/>
        <v>0</v>
      </c>
    </row>
    <row r="138" spans="2:16">
      <c r="B138" s="160" t="str">
        <f t="shared" si="28"/>
        <v/>
      </c>
      <c r="C138" s="472">
        <f>IF(D93="","-",+C137+1)</f>
        <v>2046</v>
      </c>
      <c r="D138" s="347">
        <f>IF(F137+SUM(E$99:E137)=D$92,F137,D$92-SUM(E$99:E137))</f>
        <v>8940</v>
      </c>
      <c r="E138" s="486">
        <f>IF(+J96&lt;F137,J96,D138)</f>
        <v>1770</v>
      </c>
      <c r="F138" s="485">
        <f t="shared" si="41"/>
        <v>7170</v>
      </c>
      <c r="G138" s="485">
        <f t="shared" si="42"/>
        <v>8055</v>
      </c>
      <c r="H138" s="486">
        <f t="shared" si="43"/>
        <v>2686.6009478684409</v>
      </c>
      <c r="I138" s="542">
        <f t="shared" si="44"/>
        <v>2686.6009478684409</v>
      </c>
      <c r="J138" s="478">
        <f t="shared" si="45"/>
        <v>0</v>
      </c>
      <c r="K138" s="478"/>
      <c r="L138" s="487"/>
      <c r="M138" s="478">
        <f t="shared" si="46"/>
        <v>0</v>
      </c>
      <c r="N138" s="487"/>
      <c r="O138" s="478">
        <f t="shared" si="47"/>
        <v>0</v>
      </c>
      <c r="P138" s="478">
        <f t="shared" si="48"/>
        <v>0</v>
      </c>
    </row>
    <row r="139" spans="2:16">
      <c r="B139" s="160" t="str">
        <f t="shared" si="28"/>
        <v/>
      </c>
      <c r="C139" s="472">
        <f>IF(D93="","-",+C138+1)</f>
        <v>2047</v>
      </c>
      <c r="D139" s="347">
        <f>IF(F138+SUM(E$99:E138)=D$92,F138,D$92-SUM(E$99:E138))</f>
        <v>7170</v>
      </c>
      <c r="E139" s="486">
        <f>IF(+J96&lt;F138,J96,D139)</f>
        <v>1770</v>
      </c>
      <c r="F139" s="485">
        <f t="shared" si="41"/>
        <v>5400</v>
      </c>
      <c r="G139" s="485">
        <f t="shared" si="42"/>
        <v>6285</v>
      </c>
      <c r="H139" s="486">
        <f t="shared" si="43"/>
        <v>2485.18770420275</v>
      </c>
      <c r="I139" s="542">
        <f t="shared" si="44"/>
        <v>2485.18770420275</v>
      </c>
      <c r="J139" s="478">
        <f t="shared" si="45"/>
        <v>0</v>
      </c>
      <c r="K139" s="478"/>
      <c r="L139" s="487"/>
      <c r="M139" s="478">
        <f t="shared" si="46"/>
        <v>0</v>
      </c>
      <c r="N139" s="487"/>
      <c r="O139" s="478">
        <f t="shared" si="47"/>
        <v>0</v>
      </c>
      <c r="P139" s="478">
        <f t="shared" si="48"/>
        <v>0</v>
      </c>
    </row>
    <row r="140" spans="2:16">
      <c r="B140" s="160" t="str">
        <f t="shared" si="28"/>
        <v/>
      </c>
      <c r="C140" s="472">
        <f>IF(D93="","-",+C139+1)</f>
        <v>2048</v>
      </c>
      <c r="D140" s="347">
        <f>IF(F139+SUM(E$99:E139)=D$92,F139,D$92-SUM(E$99:E139))</f>
        <v>5400</v>
      </c>
      <c r="E140" s="486">
        <f>IF(+J96&lt;F139,J96,D140)</f>
        <v>1770</v>
      </c>
      <c r="F140" s="485">
        <f t="shared" si="41"/>
        <v>3630</v>
      </c>
      <c r="G140" s="485">
        <f t="shared" si="42"/>
        <v>4515</v>
      </c>
      <c r="H140" s="486">
        <f t="shared" si="43"/>
        <v>2283.774460537059</v>
      </c>
      <c r="I140" s="542">
        <f t="shared" si="44"/>
        <v>2283.774460537059</v>
      </c>
      <c r="J140" s="478">
        <f t="shared" si="45"/>
        <v>0</v>
      </c>
      <c r="K140" s="478"/>
      <c r="L140" s="487"/>
      <c r="M140" s="478">
        <f t="shared" si="46"/>
        <v>0</v>
      </c>
      <c r="N140" s="487"/>
      <c r="O140" s="478">
        <f t="shared" si="47"/>
        <v>0</v>
      </c>
      <c r="P140" s="478">
        <f t="shared" si="48"/>
        <v>0</v>
      </c>
    </row>
    <row r="141" spans="2:16">
      <c r="B141" s="160" t="str">
        <f t="shared" si="28"/>
        <v/>
      </c>
      <c r="C141" s="472">
        <f>IF(D93="","-",+C140+1)</f>
        <v>2049</v>
      </c>
      <c r="D141" s="347">
        <f>IF(F140+SUM(E$99:E140)=D$92,F140,D$92-SUM(E$99:E140))</f>
        <v>3630</v>
      </c>
      <c r="E141" s="486">
        <f>IF(+J96&lt;F140,J96,D141)</f>
        <v>1770</v>
      </c>
      <c r="F141" s="485">
        <f t="shared" si="41"/>
        <v>1860</v>
      </c>
      <c r="G141" s="485">
        <f t="shared" si="42"/>
        <v>2745</v>
      </c>
      <c r="H141" s="486">
        <f t="shared" si="43"/>
        <v>2082.361216871368</v>
      </c>
      <c r="I141" s="542">
        <f t="shared" si="44"/>
        <v>2082.361216871368</v>
      </c>
      <c r="J141" s="478">
        <f t="shared" si="45"/>
        <v>0</v>
      </c>
      <c r="K141" s="478"/>
      <c r="L141" s="487"/>
      <c r="M141" s="478">
        <f t="shared" si="46"/>
        <v>0</v>
      </c>
      <c r="N141" s="487"/>
      <c r="O141" s="478">
        <f t="shared" si="47"/>
        <v>0</v>
      </c>
      <c r="P141" s="478">
        <f t="shared" si="48"/>
        <v>0</v>
      </c>
    </row>
    <row r="142" spans="2:16">
      <c r="B142" s="160" t="str">
        <f t="shared" si="28"/>
        <v/>
      </c>
      <c r="C142" s="472">
        <f>IF(D93="","-",+C141+1)</f>
        <v>2050</v>
      </c>
      <c r="D142" s="347">
        <f>IF(F141+SUM(E$99:E141)=D$92,F141,D$92-SUM(E$99:E141))</f>
        <v>1860</v>
      </c>
      <c r="E142" s="486">
        <f>IF(+J96&lt;F141,J96,D142)</f>
        <v>1770</v>
      </c>
      <c r="F142" s="485">
        <f t="shared" si="41"/>
        <v>90</v>
      </c>
      <c r="G142" s="485">
        <f t="shared" si="42"/>
        <v>975</v>
      </c>
      <c r="H142" s="486">
        <f t="shared" si="43"/>
        <v>1880.9479732056773</v>
      </c>
      <c r="I142" s="542">
        <f t="shared" si="44"/>
        <v>1880.9479732056773</v>
      </c>
      <c r="J142" s="478">
        <f t="shared" si="45"/>
        <v>0</v>
      </c>
      <c r="K142" s="478"/>
      <c r="L142" s="487"/>
      <c r="M142" s="478">
        <f t="shared" si="46"/>
        <v>0</v>
      </c>
      <c r="N142" s="487"/>
      <c r="O142" s="478">
        <f t="shared" si="47"/>
        <v>0</v>
      </c>
      <c r="P142" s="478">
        <f t="shared" si="48"/>
        <v>0</v>
      </c>
    </row>
    <row r="143" spans="2:16">
      <c r="B143" s="160" t="str">
        <f t="shared" si="28"/>
        <v/>
      </c>
      <c r="C143" s="472">
        <f>IF(D93="","-",+C142+1)</f>
        <v>2051</v>
      </c>
      <c r="D143" s="347">
        <f>IF(F142+SUM(E$99:E142)=D$92,F142,D$92-SUM(E$99:E142))</f>
        <v>90</v>
      </c>
      <c r="E143" s="486">
        <f>IF(+J96&lt;F142,J96,D143)</f>
        <v>90</v>
      </c>
      <c r="F143" s="485">
        <f t="shared" si="41"/>
        <v>0</v>
      </c>
      <c r="G143" s="485">
        <f t="shared" si="42"/>
        <v>45</v>
      </c>
      <c r="H143" s="486">
        <f t="shared" si="43"/>
        <v>95.120675686415865</v>
      </c>
      <c r="I143" s="542">
        <f t="shared" si="44"/>
        <v>95.120675686415865</v>
      </c>
      <c r="J143" s="478">
        <f t="shared" si="45"/>
        <v>0</v>
      </c>
      <c r="K143" s="478"/>
      <c r="L143" s="487"/>
      <c r="M143" s="478">
        <f t="shared" si="46"/>
        <v>0</v>
      </c>
      <c r="N143" s="487"/>
      <c r="O143" s="478">
        <f t="shared" si="47"/>
        <v>0</v>
      </c>
      <c r="P143" s="478">
        <f t="shared" si="48"/>
        <v>0</v>
      </c>
    </row>
    <row r="144" spans="2:16">
      <c r="B144" s="160" t="str">
        <f t="shared" si="28"/>
        <v/>
      </c>
      <c r="C144" s="472">
        <f>IF(D93="","-",+C143+1)</f>
        <v>2052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41"/>
        <v>0</v>
      </c>
      <c r="G144" s="485">
        <f t="shared" si="42"/>
        <v>0</v>
      </c>
      <c r="H144" s="486">
        <f t="shared" si="43"/>
        <v>0</v>
      </c>
      <c r="I144" s="542">
        <f t="shared" si="44"/>
        <v>0</v>
      </c>
      <c r="J144" s="478">
        <f t="shared" si="45"/>
        <v>0</v>
      </c>
      <c r="K144" s="478"/>
      <c r="L144" s="487"/>
      <c r="M144" s="478">
        <f t="shared" si="46"/>
        <v>0</v>
      </c>
      <c r="N144" s="487"/>
      <c r="O144" s="478">
        <f t="shared" si="47"/>
        <v>0</v>
      </c>
      <c r="P144" s="478">
        <f t="shared" si="48"/>
        <v>0</v>
      </c>
    </row>
    <row r="145" spans="2:16">
      <c r="B145" s="160" t="str">
        <f t="shared" si="28"/>
        <v/>
      </c>
      <c r="C145" s="472">
        <f>IF(D93="","-",+C144+1)</f>
        <v>2053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41"/>
        <v>0</v>
      </c>
      <c r="G145" s="485">
        <f t="shared" si="42"/>
        <v>0</v>
      </c>
      <c r="H145" s="486">
        <f t="shared" si="43"/>
        <v>0</v>
      </c>
      <c r="I145" s="542">
        <f t="shared" si="44"/>
        <v>0</v>
      </c>
      <c r="J145" s="478">
        <f t="shared" si="45"/>
        <v>0</v>
      </c>
      <c r="K145" s="478"/>
      <c r="L145" s="487"/>
      <c r="M145" s="478">
        <f t="shared" si="46"/>
        <v>0</v>
      </c>
      <c r="N145" s="487"/>
      <c r="O145" s="478">
        <f t="shared" si="47"/>
        <v>0</v>
      </c>
      <c r="P145" s="478">
        <f t="shared" si="48"/>
        <v>0</v>
      </c>
    </row>
    <row r="146" spans="2:16">
      <c r="B146" s="160" t="str">
        <f t="shared" si="28"/>
        <v/>
      </c>
      <c r="C146" s="472">
        <f>IF(D93="","-",+C145+1)</f>
        <v>2054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41"/>
        <v>0</v>
      </c>
      <c r="G146" s="485">
        <f t="shared" si="42"/>
        <v>0</v>
      </c>
      <c r="H146" s="486">
        <f t="shared" si="43"/>
        <v>0</v>
      </c>
      <c r="I146" s="542">
        <f t="shared" si="44"/>
        <v>0</v>
      </c>
      <c r="J146" s="478">
        <f t="shared" si="45"/>
        <v>0</v>
      </c>
      <c r="K146" s="478"/>
      <c r="L146" s="487"/>
      <c r="M146" s="478">
        <f t="shared" si="46"/>
        <v>0</v>
      </c>
      <c r="N146" s="487"/>
      <c r="O146" s="478">
        <f t="shared" si="47"/>
        <v>0</v>
      </c>
      <c r="P146" s="478">
        <f t="shared" si="48"/>
        <v>0</v>
      </c>
    </row>
    <row r="147" spans="2:16">
      <c r="B147" s="160" t="str">
        <f t="shared" si="28"/>
        <v/>
      </c>
      <c r="C147" s="472">
        <f>IF(D93="","-",+C146+1)</f>
        <v>2055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41"/>
        <v>0</v>
      </c>
      <c r="G147" s="485">
        <f t="shared" si="42"/>
        <v>0</v>
      </c>
      <c r="H147" s="486">
        <f t="shared" si="43"/>
        <v>0</v>
      </c>
      <c r="I147" s="542">
        <f t="shared" si="44"/>
        <v>0</v>
      </c>
      <c r="J147" s="478">
        <f t="shared" si="45"/>
        <v>0</v>
      </c>
      <c r="K147" s="478"/>
      <c r="L147" s="487"/>
      <c r="M147" s="478">
        <f t="shared" si="46"/>
        <v>0</v>
      </c>
      <c r="N147" s="487"/>
      <c r="O147" s="478">
        <f t="shared" si="47"/>
        <v>0</v>
      </c>
      <c r="P147" s="478">
        <f t="shared" si="48"/>
        <v>0</v>
      </c>
    </row>
    <row r="148" spans="2:16">
      <c r="B148" s="160" t="str">
        <f t="shared" si="28"/>
        <v/>
      </c>
      <c r="C148" s="472">
        <f>IF(D93="","-",+C147+1)</f>
        <v>2056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41"/>
        <v>0</v>
      </c>
      <c r="G148" s="485">
        <f t="shared" si="42"/>
        <v>0</v>
      </c>
      <c r="H148" s="486">
        <f t="shared" si="43"/>
        <v>0</v>
      </c>
      <c r="I148" s="542">
        <f t="shared" si="44"/>
        <v>0</v>
      </c>
      <c r="J148" s="478">
        <f t="shared" si="45"/>
        <v>0</v>
      </c>
      <c r="K148" s="478"/>
      <c r="L148" s="487"/>
      <c r="M148" s="478">
        <f t="shared" si="46"/>
        <v>0</v>
      </c>
      <c r="N148" s="487"/>
      <c r="O148" s="478">
        <f t="shared" si="47"/>
        <v>0</v>
      </c>
      <c r="P148" s="478">
        <f t="shared" si="48"/>
        <v>0</v>
      </c>
    </row>
    <row r="149" spans="2:16">
      <c r="B149" s="160" t="str">
        <f t="shared" si="28"/>
        <v/>
      </c>
      <c r="C149" s="472">
        <f>IF(D93="","-",+C148+1)</f>
        <v>2057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41"/>
        <v>0</v>
      </c>
      <c r="G149" s="485">
        <f t="shared" si="42"/>
        <v>0</v>
      </c>
      <c r="H149" s="486">
        <f t="shared" si="43"/>
        <v>0</v>
      </c>
      <c r="I149" s="542">
        <f t="shared" si="44"/>
        <v>0</v>
      </c>
      <c r="J149" s="478">
        <f t="shared" si="45"/>
        <v>0</v>
      </c>
      <c r="K149" s="478"/>
      <c r="L149" s="487"/>
      <c r="M149" s="478">
        <f t="shared" si="46"/>
        <v>0</v>
      </c>
      <c r="N149" s="487"/>
      <c r="O149" s="478">
        <f t="shared" si="47"/>
        <v>0</v>
      </c>
      <c r="P149" s="478">
        <f t="shared" si="48"/>
        <v>0</v>
      </c>
    </row>
    <row r="150" spans="2:16">
      <c r="B150" s="160" t="str">
        <f t="shared" si="28"/>
        <v/>
      </c>
      <c r="C150" s="472">
        <f>IF(D93="","-",+C149+1)</f>
        <v>2058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41"/>
        <v>0</v>
      </c>
      <c r="G150" s="485">
        <f t="shared" si="42"/>
        <v>0</v>
      </c>
      <c r="H150" s="486">
        <f t="shared" si="43"/>
        <v>0</v>
      </c>
      <c r="I150" s="542">
        <f t="shared" si="44"/>
        <v>0</v>
      </c>
      <c r="J150" s="478">
        <f t="shared" si="45"/>
        <v>0</v>
      </c>
      <c r="K150" s="478"/>
      <c r="L150" s="487"/>
      <c r="M150" s="478">
        <f t="shared" si="46"/>
        <v>0</v>
      </c>
      <c r="N150" s="487"/>
      <c r="O150" s="478">
        <f t="shared" si="47"/>
        <v>0</v>
      </c>
      <c r="P150" s="478">
        <f t="shared" si="48"/>
        <v>0</v>
      </c>
    </row>
    <row r="151" spans="2:16">
      <c r="B151" s="160" t="str">
        <f t="shared" si="28"/>
        <v/>
      </c>
      <c r="C151" s="472">
        <f>IF(D93="","-",+C150+1)</f>
        <v>2059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41"/>
        <v>0</v>
      </c>
      <c r="G151" s="485">
        <f t="shared" si="42"/>
        <v>0</v>
      </c>
      <c r="H151" s="486">
        <f t="shared" si="43"/>
        <v>0</v>
      </c>
      <c r="I151" s="542">
        <f t="shared" si="44"/>
        <v>0</v>
      </c>
      <c r="J151" s="478">
        <f t="shared" si="45"/>
        <v>0</v>
      </c>
      <c r="K151" s="478"/>
      <c r="L151" s="487"/>
      <c r="M151" s="478">
        <f t="shared" si="46"/>
        <v>0</v>
      </c>
      <c r="N151" s="487"/>
      <c r="O151" s="478">
        <f t="shared" si="47"/>
        <v>0</v>
      </c>
      <c r="P151" s="478">
        <f t="shared" si="48"/>
        <v>0</v>
      </c>
    </row>
    <row r="152" spans="2:16">
      <c r="B152" s="160" t="str">
        <f t="shared" si="28"/>
        <v/>
      </c>
      <c r="C152" s="472">
        <f>IF(D93="","-",+C151+1)</f>
        <v>2060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41"/>
        <v>0</v>
      </c>
      <c r="G152" s="485">
        <f t="shared" si="42"/>
        <v>0</v>
      </c>
      <c r="H152" s="486">
        <f t="shared" si="43"/>
        <v>0</v>
      </c>
      <c r="I152" s="542">
        <f t="shared" si="44"/>
        <v>0</v>
      </c>
      <c r="J152" s="478">
        <f t="shared" si="45"/>
        <v>0</v>
      </c>
      <c r="K152" s="478"/>
      <c r="L152" s="487"/>
      <c r="M152" s="478">
        <f t="shared" si="46"/>
        <v>0</v>
      </c>
      <c r="N152" s="487"/>
      <c r="O152" s="478">
        <f t="shared" si="47"/>
        <v>0</v>
      </c>
      <c r="P152" s="478">
        <f t="shared" si="48"/>
        <v>0</v>
      </c>
    </row>
    <row r="153" spans="2:16">
      <c r="B153" s="160" t="str">
        <f t="shared" si="28"/>
        <v/>
      </c>
      <c r="C153" s="472">
        <f>IF(D93="","-",+C152+1)</f>
        <v>2061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41"/>
        <v>0</v>
      </c>
      <c r="G153" s="485">
        <f t="shared" si="42"/>
        <v>0</v>
      </c>
      <c r="H153" s="486">
        <f t="shared" si="43"/>
        <v>0</v>
      </c>
      <c r="I153" s="542">
        <f t="shared" si="44"/>
        <v>0</v>
      </c>
      <c r="J153" s="478">
        <f t="shared" si="45"/>
        <v>0</v>
      </c>
      <c r="K153" s="478"/>
      <c r="L153" s="487"/>
      <c r="M153" s="478">
        <f t="shared" si="46"/>
        <v>0</v>
      </c>
      <c r="N153" s="487"/>
      <c r="O153" s="478">
        <f t="shared" si="47"/>
        <v>0</v>
      </c>
      <c r="P153" s="478">
        <f t="shared" si="48"/>
        <v>0</v>
      </c>
    </row>
    <row r="154" spans="2:16" ht="13.5" thickBot="1">
      <c r="B154" s="160" t="str">
        <f t="shared" si="28"/>
        <v/>
      </c>
      <c r="C154" s="489">
        <f>IF(D93="","-",+C153+1)</f>
        <v>2062</v>
      </c>
      <c r="D154" s="490">
        <f>IF(F153+SUM(E$99:E153)=D$92,F153,D$92-SUM(E$99:E153))</f>
        <v>0</v>
      </c>
      <c r="E154" s="544">
        <f>IF(+J96&lt;F153,J96,D154)</f>
        <v>0</v>
      </c>
      <c r="F154" s="490">
        <f t="shared" si="41"/>
        <v>0</v>
      </c>
      <c r="G154" s="490">
        <f t="shared" si="42"/>
        <v>0</v>
      </c>
      <c r="H154" s="492">
        <f t="shared" ref="H154" si="49">+J$94*G154+E154</f>
        <v>0</v>
      </c>
      <c r="I154" s="545">
        <f t="shared" ref="I154" si="50">+J$95*G154+E154</f>
        <v>0</v>
      </c>
      <c r="J154" s="495">
        <f t="shared" si="45"/>
        <v>0</v>
      </c>
      <c r="K154" s="478"/>
      <c r="L154" s="494"/>
      <c r="M154" s="495">
        <f t="shared" si="46"/>
        <v>0</v>
      </c>
      <c r="N154" s="494"/>
      <c r="O154" s="495">
        <f t="shared" si="47"/>
        <v>0</v>
      </c>
      <c r="P154" s="495">
        <f t="shared" si="48"/>
        <v>0</v>
      </c>
    </row>
    <row r="155" spans="2:16">
      <c r="C155" s="347" t="s">
        <v>77</v>
      </c>
      <c r="D155" s="348"/>
      <c r="E155" s="348">
        <f>SUM(E99:E154)</f>
        <v>72551</v>
      </c>
      <c r="F155" s="348"/>
      <c r="G155" s="348"/>
      <c r="H155" s="348">
        <f>SUM(H99:H154)</f>
        <v>281124.03024196642</v>
      </c>
      <c r="I155" s="348">
        <f>SUM(I99:I154)</f>
        <v>281124.03024196642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46" priority="1" stopIfTrue="1" operator="equal">
      <formula>$I$10</formula>
    </cfRule>
  </conditionalFormatting>
  <conditionalFormatting sqref="C99:C154">
    <cfRule type="cellIs" dxfId="4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0">
    <tabColor rgb="FFC00000"/>
  </sheetPr>
  <dimension ref="A1:P162"/>
  <sheetViews>
    <sheetView zoomScaleNormal="100" zoomScaleSheetLayoutView="75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10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10113.720930232557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10113.720930232557</v>
      </c>
      <c r="O6" s="233"/>
      <c r="P6" s="233"/>
    </row>
    <row r="7" spans="1:16" ht="13.5" thickBot="1">
      <c r="C7" s="431" t="s">
        <v>46</v>
      </c>
      <c r="D7" s="564" t="s">
        <v>258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221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96566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2010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2245.7209302325582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2010</v>
      </c>
      <c r="D17" s="473">
        <v>135400</v>
      </c>
      <c r="E17" s="474">
        <v>1209</v>
      </c>
      <c r="F17" s="473">
        <v>134191</v>
      </c>
      <c r="G17" s="474">
        <v>20572</v>
      </c>
      <c r="H17" s="481">
        <v>20572</v>
      </c>
      <c r="I17" s="475">
        <f t="shared" ref="I17:I48" si="0">H17-G17</f>
        <v>0</v>
      </c>
      <c r="J17" s="475"/>
      <c r="K17" s="554">
        <f t="shared" ref="K17:K22" si="1">G17</f>
        <v>20572</v>
      </c>
      <c r="L17" s="477">
        <f t="shared" ref="L17:L48" si="2">IF(K17&lt;&gt;0,+G17-K17,0)</f>
        <v>0</v>
      </c>
      <c r="M17" s="554">
        <f t="shared" ref="M17:M22" si="3">H17</f>
        <v>20572</v>
      </c>
      <c r="N17" s="477">
        <f t="shared" ref="N17:N48" si="4">IF(M17&lt;&gt;0,+H17-M17,0)</f>
        <v>0</v>
      </c>
      <c r="O17" s="478">
        <f t="shared" ref="O17:O48" si="5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2011</v>
      </c>
      <c r="D18" s="479">
        <v>95357</v>
      </c>
      <c r="E18" s="480">
        <v>1893.4509803921569</v>
      </c>
      <c r="F18" s="479">
        <v>93463.549019607846</v>
      </c>
      <c r="G18" s="480">
        <v>16524.450980392157</v>
      </c>
      <c r="H18" s="481">
        <v>16524.450980392157</v>
      </c>
      <c r="I18" s="475">
        <f t="shared" si="0"/>
        <v>0</v>
      </c>
      <c r="J18" s="475"/>
      <c r="K18" s="476">
        <f t="shared" si="1"/>
        <v>16524.450980392157</v>
      </c>
      <c r="L18" s="550">
        <f t="shared" si="2"/>
        <v>0</v>
      </c>
      <c r="M18" s="476">
        <f t="shared" si="3"/>
        <v>16524.450980392157</v>
      </c>
      <c r="N18" s="478">
        <f t="shared" si="4"/>
        <v>0</v>
      </c>
      <c r="O18" s="478">
        <f t="shared" si="5"/>
        <v>0</v>
      </c>
      <c r="P18" s="243"/>
    </row>
    <row r="19" spans="2:16">
      <c r="B19" s="160" t="str">
        <f>IF(D19=F18,"","IU")</f>
        <v/>
      </c>
      <c r="C19" s="472">
        <f>IF(D11="","-",+C18+1)</f>
        <v>2012</v>
      </c>
      <c r="D19" s="479">
        <v>93463.549019607846</v>
      </c>
      <c r="E19" s="480">
        <v>1857.0384615384614</v>
      </c>
      <c r="F19" s="479">
        <v>91606.510558069378</v>
      </c>
      <c r="G19" s="480">
        <v>14609.038461538461</v>
      </c>
      <c r="H19" s="481">
        <v>14609.038461538461</v>
      </c>
      <c r="I19" s="475">
        <f t="shared" si="0"/>
        <v>0</v>
      </c>
      <c r="J19" s="475"/>
      <c r="K19" s="476">
        <f t="shared" si="1"/>
        <v>14609.038461538461</v>
      </c>
      <c r="L19" s="550">
        <f t="shared" si="2"/>
        <v>0</v>
      </c>
      <c r="M19" s="476">
        <f t="shared" si="3"/>
        <v>14609.038461538461</v>
      </c>
      <c r="N19" s="478">
        <f t="shared" si="4"/>
        <v>0</v>
      </c>
      <c r="O19" s="478">
        <f t="shared" si="5"/>
        <v>0</v>
      </c>
      <c r="P19" s="243"/>
    </row>
    <row r="20" spans="2:16">
      <c r="B20" s="160" t="str">
        <f t="shared" ref="B20:B72" si="6">IF(D20=F19,"","IU")</f>
        <v/>
      </c>
      <c r="C20" s="472">
        <f>IF(D11="","-",+C19+1)</f>
        <v>2013</v>
      </c>
      <c r="D20" s="479">
        <v>91606.510558069378</v>
      </c>
      <c r="E20" s="480">
        <v>1857.0384615384614</v>
      </c>
      <c r="F20" s="479">
        <v>89749.47209653091</v>
      </c>
      <c r="G20" s="480">
        <v>14674.038461538461</v>
      </c>
      <c r="H20" s="481">
        <v>14674.038461538461</v>
      </c>
      <c r="I20" s="475">
        <v>0</v>
      </c>
      <c r="J20" s="475"/>
      <c r="K20" s="476">
        <f t="shared" si="1"/>
        <v>14674.038461538461</v>
      </c>
      <c r="L20" s="550">
        <f t="shared" ref="L20:L25" si="7">IF(K20&lt;&gt;0,+G20-K20,0)</f>
        <v>0</v>
      </c>
      <c r="M20" s="476">
        <f t="shared" si="3"/>
        <v>14674.038461538461</v>
      </c>
      <c r="N20" s="478">
        <f t="shared" ref="N20:N25" si="8">IF(M20&lt;&gt;0,+H20-M20,0)</f>
        <v>0</v>
      </c>
      <c r="O20" s="478">
        <f t="shared" ref="O20:O25" si="9">+N20-L20</f>
        <v>0</v>
      </c>
      <c r="P20" s="243"/>
    </row>
    <row r="21" spans="2:16">
      <c r="B21" s="160" t="str">
        <f t="shared" si="6"/>
        <v/>
      </c>
      <c r="C21" s="472">
        <f>IF(D11="","-",+C20+1)</f>
        <v>2014</v>
      </c>
      <c r="D21" s="479">
        <v>89749.47209653091</v>
      </c>
      <c r="E21" s="480">
        <v>1857.0384615384614</v>
      </c>
      <c r="F21" s="479">
        <v>87892.433634992442</v>
      </c>
      <c r="G21" s="480">
        <v>13956.038461538461</v>
      </c>
      <c r="H21" s="481">
        <v>13956.038461538461</v>
      </c>
      <c r="I21" s="475">
        <v>0</v>
      </c>
      <c r="J21" s="475"/>
      <c r="K21" s="476">
        <f t="shared" si="1"/>
        <v>13956.038461538461</v>
      </c>
      <c r="L21" s="550">
        <f t="shared" si="7"/>
        <v>0</v>
      </c>
      <c r="M21" s="476">
        <f t="shared" si="3"/>
        <v>13956.038461538461</v>
      </c>
      <c r="N21" s="478">
        <f t="shared" si="8"/>
        <v>0</v>
      </c>
      <c r="O21" s="478">
        <f t="shared" si="9"/>
        <v>0</v>
      </c>
      <c r="P21" s="243"/>
    </row>
    <row r="22" spans="2:16">
      <c r="B22" s="160" t="str">
        <f t="shared" si="6"/>
        <v/>
      </c>
      <c r="C22" s="472">
        <f>IF(D11="","-",+C21+1)</f>
        <v>2015</v>
      </c>
      <c r="D22" s="479">
        <v>87892.433634992442</v>
      </c>
      <c r="E22" s="480">
        <v>1857.0384615384614</v>
      </c>
      <c r="F22" s="479">
        <v>86035.395173453973</v>
      </c>
      <c r="G22" s="480">
        <v>13719.038461538461</v>
      </c>
      <c r="H22" s="481">
        <v>13719.038461538461</v>
      </c>
      <c r="I22" s="475">
        <v>0</v>
      </c>
      <c r="J22" s="475"/>
      <c r="K22" s="476">
        <f t="shared" si="1"/>
        <v>13719.038461538461</v>
      </c>
      <c r="L22" s="550">
        <f t="shared" si="7"/>
        <v>0</v>
      </c>
      <c r="M22" s="476">
        <f t="shared" si="3"/>
        <v>13719.038461538461</v>
      </c>
      <c r="N22" s="478">
        <f t="shared" si="8"/>
        <v>0</v>
      </c>
      <c r="O22" s="478">
        <f t="shared" si="9"/>
        <v>0</v>
      </c>
      <c r="P22" s="243"/>
    </row>
    <row r="23" spans="2:16">
      <c r="B23" s="160" t="str">
        <f t="shared" si="6"/>
        <v/>
      </c>
      <c r="C23" s="472">
        <f>IF(D11="","-",+C22+1)</f>
        <v>2016</v>
      </c>
      <c r="D23" s="479">
        <v>86035.395173453973</v>
      </c>
      <c r="E23" s="480">
        <v>1857.0384615384614</v>
      </c>
      <c r="F23" s="479">
        <v>84178.356711915505</v>
      </c>
      <c r="G23" s="480">
        <v>12898.038461538461</v>
      </c>
      <c r="H23" s="481">
        <v>12898.038461538461</v>
      </c>
      <c r="I23" s="475">
        <f t="shared" si="0"/>
        <v>0</v>
      </c>
      <c r="J23" s="475"/>
      <c r="K23" s="476">
        <f t="shared" ref="K23:K28" si="10">G23</f>
        <v>12898.038461538461</v>
      </c>
      <c r="L23" s="550">
        <f t="shared" si="7"/>
        <v>0</v>
      </c>
      <c r="M23" s="476">
        <f t="shared" ref="M23:M28" si="11">H23</f>
        <v>12898.038461538461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2017</v>
      </c>
      <c r="D24" s="479">
        <v>84178.356711915505</v>
      </c>
      <c r="E24" s="480">
        <v>2099.2608695652175</v>
      </c>
      <c r="F24" s="479">
        <v>82079.095842350289</v>
      </c>
      <c r="G24" s="480">
        <v>12544.260869565218</v>
      </c>
      <c r="H24" s="481">
        <v>12544.260869565218</v>
      </c>
      <c r="I24" s="475">
        <f t="shared" si="0"/>
        <v>0</v>
      </c>
      <c r="J24" s="475"/>
      <c r="K24" s="476">
        <f t="shared" si="10"/>
        <v>12544.260869565218</v>
      </c>
      <c r="L24" s="550">
        <f t="shared" si="7"/>
        <v>0</v>
      </c>
      <c r="M24" s="476">
        <f t="shared" si="11"/>
        <v>12544.260869565218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6"/>
        <v/>
      </c>
      <c r="C25" s="472">
        <f>IF(D11="","-",+C24+1)</f>
        <v>2018</v>
      </c>
      <c r="D25" s="479">
        <v>82079.095842350289</v>
      </c>
      <c r="E25" s="480">
        <v>2145.911111111111</v>
      </c>
      <c r="F25" s="479">
        <v>79933.184731239176</v>
      </c>
      <c r="G25" s="480">
        <v>12963.911111111111</v>
      </c>
      <c r="H25" s="481">
        <v>12963.911111111111</v>
      </c>
      <c r="I25" s="475">
        <f t="shared" si="0"/>
        <v>0</v>
      </c>
      <c r="J25" s="475"/>
      <c r="K25" s="476">
        <f t="shared" si="10"/>
        <v>12963.911111111111</v>
      </c>
      <c r="L25" s="550">
        <f t="shared" si="7"/>
        <v>0</v>
      </c>
      <c r="M25" s="476">
        <f t="shared" si="11"/>
        <v>12963.911111111111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/>
      </c>
      <c r="C26" s="472">
        <f>IF(D11="","-",+C25+1)</f>
        <v>2019</v>
      </c>
      <c r="D26" s="479">
        <v>79933.184731239176</v>
      </c>
      <c r="E26" s="480">
        <v>2145.911111111111</v>
      </c>
      <c r="F26" s="479">
        <v>77787.273620128064</v>
      </c>
      <c r="G26" s="480">
        <v>12672.911111111111</v>
      </c>
      <c r="H26" s="481">
        <v>12672.911111111111</v>
      </c>
      <c r="I26" s="475">
        <f t="shared" si="0"/>
        <v>0</v>
      </c>
      <c r="J26" s="475"/>
      <c r="K26" s="476">
        <f t="shared" si="10"/>
        <v>12672.911111111111</v>
      </c>
      <c r="L26" s="550">
        <f t="shared" ref="L26" si="12">IF(K26&lt;&gt;0,+G26-K26,0)</f>
        <v>0</v>
      </c>
      <c r="M26" s="476">
        <f t="shared" si="11"/>
        <v>12672.911111111111</v>
      </c>
      <c r="N26" s="478">
        <f t="shared" ref="N26" si="13">IF(M26&lt;&gt;0,+H26-M26,0)</f>
        <v>0</v>
      </c>
      <c r="O26" s="478">
        <f t="shared" ref="O26" si="14">+N26-L26</f>
        <v>0</v>
      </c>
      <c r="P26" s="243"/>
    </row>
    <row r="27" spans="2:16">
      <c r="B27" s="566" t="str">
        <f t="shared" si="6"/>
        <v/>
      </c>
      <c r="C27" s="472">
        <f>IF(D11="","-",+C26+1)</f>
        <v>2020</v>
      </c>
      <c r="D27" s="479">
        <v>77787.273620128064</v>
      </c>
      <c r="E27" s="480">
        <v>2299.1904761904761</v>
      </c>
      <c r="F27" s="479">
        <v>75488.083143937591</v>
      </c>
      <c r="G27" s="480">
        <v>10576.425832738674</v>
      </c>
      <c r="H27" s="481">
        <v>10576.425832738674</v>
      </c>
      <c r="I27" s="475">
        <f t="shared" si="0"/>
        <v>0</v>
      </c>
      <c r="J27" s="475"/>
      <c r="K27" s="476">
        <f t="shared" si="10"/>
        <v>10576.425832738674</v>
      </c>
      <c r="L27" s="550">
        <f t="shared" ref="L27" si="15">IF(K27&lt;&gt;0,+G27-K27,0)</f>
        <v>0</v>
      </c>
      <c r="M27" s="476">
        <f t="shared" si="11"/>
        <v>10576.425832738674</v>
      </c>
      <c r="N27" s="478">
        <f t="shared" si="4"/>
        <v>0</v>
      </c>
      <c r="O27" s="478">
        <f t="shared" si="5"/>
        <v>0</v>
      </c>
      <c r="P27" s="243"/>
    </row>
    <row r="28" spans="2:16">
      <c r="B28" s="160" t="str">
        <f t="shared" si="6"/>
        <v>IU</v>
      </c>
      <c r="C28" s="472">
        <f>IF(D11="","-",+C27+1)</f>
        <v>2021</v>
      </c>
      <c r="D28" s="479">
        <v>75219.844255048723</v>
      </c>
      <c r="E28" s="480">
        <v>2245.7209302325582</v>
      </c>
      <c r="F28" s="479">
        <v>72974.123324816159</v>
      </c>
      <c r="G28" s="480">
        <v>10113.720930232557</v>
      </c>
      <c r="H28" s="481">
        <v>10113.720930232557</v>
      </c>
      <c r="I28" s="475">
        <f t="shared" si="0"/>
        <v>0</v>
      </c>
      <c r="J28" s="475"/>
      <c r="K28" s="476">
        <f t="shared" si="10"/>
        <v>10113.720930232557</v>
      </c>
      <c r="L28" s="550">
        <f t="shared" ref="L28" si="16">IF(K28&lt;&gt;0,+G28-K28,0)</f>
        <v>0</v>
      </c>
      <c r="M28" s="476">
        <f t="shared" si="11"/>
        <v>10113.720930232557</v>
      </c>
      <c r="N28" s="478">
        <f t="shared" si="4"/>
        <v>0</v>
      </c>
      <c r="O28" s="478">
        <f t="shared" si="5"/>
        <v>0</v>
      </c>
      <c r="P28" s="243"/>
    </row>
    <row r="29" spans="2:16">
      <c r="B29" s="160" t="str">
        <f t="shared" si="6"/>
        <v>IU</v>
      </c>
      <c r="C29" s="472">
        <f>IF(D11="","-",+C28+1)</f>
        <v>2022</v>
      </c>
      <c r="D29" s="485">
        <f>IF(F28+SUM(E$17:E28)=D$10,F28,D$10-SUM(E$17:E28))</f>
        <v>73242.362213705055</v>
      </c>
      <c r="E29" s="484">
        <f>IF(+I14&lt;F28,I14,D29)</f>
        <v>2245.7209302325582</v>
      </c>
      <c r="F29" s="485">
        <f t="shared" ref="F29:F48" si="17">+D29-E29</f>
        <v>70996.641283472491</v>
      </c>
      <c r="G29" s="486">
        <f t="shared" ref="G29:G72" si="18">(D29+F29)/2*I$12+E29</f>
        <v>10543.52650197292</v>
      </c>
      <c r="H29" s="455">
        <f t="shared" ref="H29:H72" si="19">+(D29+F29)/2*I$13+E29</f>
        <v>10543.52650197292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3"/>
    </row>
    <row r="30" spans="2:16">
      <c r="B30" s="160" t="str">
        <f t="shared" si="6"/>
        <v/>
      </c>
      <c r="C30" s="472">
        <f>IF(D11="","-",+C29+1)</f>
        <v>2023</v>
      </c>
      <c r="D30" s="485">
        <f>IF(F29+SUM(E$17:E29)=D$10,F29,D$10-SUM(E$17:E29))</f>
        <v>70996.641283472491</v>
      </c>
      <c r="E30" s="484">
        <f>IF(+I14&lt;F29,I14,D30)</f>
        <v>2245.7209302325582</v>
      </c>
      <c r="F30" s="485">
        <f t="shared" si="17"/>
        <v>68750.920353239926</v>
      </c>
      <c r="G30" s="486">
        <f t="shared" si="18"/>
        <v>10285.142081730824</v>
      </c>
      <c r="H30" s="455">
        <f t="shared" si="19"/>
        <v>10285.142081730824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3"/>
    </row>
    <row r="31" spans="2:16">
      <c r="B31" s="160" t="str">
        <f t="shared" si="6"/>
        <v/>
      </c>
      <c r="C31" s="472">
        <f>IF(D11="","-",+C30+1)</f>
        <v>2024</v>
      </c>
      <c r="D31" s="485">
        <f>IF(F30+SUM(E$17:E30)=D$10,F30,D$10-SUM(E$17:E30))</f>
        <v>68750.920353239926</v>
      </c>
      <c r="E31" s="484">
        <f>IF(+I14&lt;F30,I14,D31)</f>
        <v>2245.7209302325582</v>
      </c>
      <c r="F31" s="485">
        <f t="shared" si="17"/>
        <v>66505.199423007361</v>
      </c>
      <c r="G31" s="486">
        <f t="shared" si="18"/>
        <v>10026.757661488735</v>
      </c>
      <c r="H31" s="455">
        <f t="shared" si="19"/>
        <v>10026.757661488735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3"/>
    </row>
    <row r="32" spans="2:16">
      <c r="B32" s="160" t="str">
        <f t="shared" si="6"/>
        <v/>
      </c>
      <c r="C32" s="472">
        <f>IF(D11="","-",+C31+1)</f>
        <v>2025</v>
      </c>
      <c r="D32" s="485">
        <f>IF(F31+SUM(E$17:E31)=D$10,F31,D$10-SUM(E$17:E31))</f>
        <v>66505.199423007361</v>
      </c>
      <c r="E32" s="484">
        <f>IF(+I14&lt;F31,I14,D32)</f>
        <v>2245.7209302325582</v>
      </c>
      <c r="F32" s="485">
        <f t="shared" si="17"/>
        <v>64259.478492774804</v>
      </c>
      <c r="G32" s="486">
        <f t="shared" si="18"/>
        <v>9768.3732412466416</v>
      </c>
      <c r="H32" s="455">
        <f t="shared" si="19"/>
        <v>9768.3732412466416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3"/>
    </row>
    <row r="33" spans="2:16">
      <c r="B33" s="160" t="str">
        <f t="shared" si="6"/>
        <v/>
      </c>
      <c r="C33" s="472">
        <f>IF(D11="","-",+C32+1)</f>
        <v>2026</v>
      </c>
      <c r="D33" s="485">
        <f>IF(F32+SUM(E$17:E32)=D$10,F32,D$10-SUM(E$17:E32))</f>
        <v>64259.478492774804</v>
      </c>
      <c r="E33" s="484">
        <f>IF(+I14&lt;F32,I14,D33)</f>
        <v>2245.7209302325582</v>
      </c>
      <c r="F33" s="485">
        <f t="shared" si="17"/>
        <v>62013.757562542247</v>
      </c>
      <c r="G33" s="486">
        <f t="shared" si="18"/>
        <v>9509.9888210045483</v>
      </c>
      <c r="H33" s="455">
        <f t="shared" si="19"/>
        <v>9509.9888210045483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3"/>
    </row>
    <row r="34" spans="2:16">
      <c r="B34" s="160" t="str">
        <f t="shared" si="6"/>
        <v/>
      </c>
      <c r="C34" s="472">
        <f>IF(D11="","-",+C33+1)</f>
        <v>2027</v>
      </c>
      <c r="D34" s="485">
        <f>IF(F33+SUM(E$17:E33)=D$10,F33,D$10-SUM(E$17:E33))</f>
        <v>62013.757562542247</v>
      </c>
      <c r="E34" s="484">
        <f>IF(+I14&lt;F33,I14,D34)</f>
        <v>2245.7209302325582</v>
      </c>
      <c r="F34" s="485">
        <f t="shared" si="17"/>
        <v>59768.03663230969</v>
      </c>
      <c r="G34" s="486">
        <f t="shared" si="18"/>
        <v>9251.6044007624569</v>
      </c>
      <c r="H34" s="455">
        <f t="shared" si="19"/>
        <v>9251.6044007624569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3"/>
    </row>
    <row r="35" spans="2:16">
      <c r="B35" s="160" t="str">
        <f t="shared" si="6"/>
        <v/>
      </c>
      <c r="C35" s="472">
        <f>IF(D11="","-",+C34+1)</f>
        <v>2028</v>
      </c>
      <c r="D35" s="485">
        <f>IF(F34+SUM(E$17:E34)=D$10,F34,D$10-SUM(E$17:E34))</f>
        <v>59768.03663230969</v>
      </c>
      <c r="E35" s="484">
        <f>IF(+I14&lt;F34,I14,D35)</f>
        <v>2245.7209302325582</v>
      </c>
      <c r="F35" s="485">
        <f t="shared" si="17"/>
        <v>57522.315702077132</v>
      </c>
      <c r="G35" s="486">
        <f t="shared" si="18"/>
        <v>8993.2199805203636</v>
      </c>
      <c r="H35" s="455">
        <f t="shared" si="19"/>
        <v>8993.2199805203636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3"/>
    </row>
    <row r="36" spans="2:16">
      <c r="B36" s="160" t="str">
        <f t="shared" si="6"/>
        <v/>
      </c>
      <c r="C36" s="472">
        <f>IF(D11="","-",+C35+1)</f>
        <v>2029</v>
      </c>
      <c r="D36" s="485">
        <f>IF(F35+SUM(E$17:E35)=D$10,F35,D$10-SUM(E$17:E35))</f>
        <v>57522.315702077132</v>
      </c>
      <c r="E36" s="484">
        <f>IF(+I14&lt;F35,I14,D36)</f>
        <v>2245.7209302325582</v>
      </c>
      <c r="F36" s="485">
        <f t="shared" si="17"/>
        <v>55276.594771844575</v>
      </c>
      <c r="G36" s="486">
        <f t="shared" si="18"/>
        <v>8734.8355602782722</v>
      </c>
      <c r="H36" s="455">
        <f t="shared" si="19"/>
        <v>8734.8355602782722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3"/>
    </row>
    <row r="37" spans="2:16">
      <c r="B37" s="160" t="str">
        <f t="shared" si="6"/>
        <v/>
      </c>
      <c r="C37" s="472">
        <f>IF(D11="","-",+C36+1)</f>
        <v>2030</v>
      </c>
      <c r="D37" s="485">
        <f>IF(F36+SUM(E$17:E36)=D$10,F36,D$10-SUM(E$17:E36))</f>
        <v>55276.594771844575</v>
      </c>
      <c r="E37" s="484">
        <f>IF(+I14&lt;F36,I14,D37)</f>
        <v>2245.7209302325582</v>
      </c>
      <c r="F37" s="485">
        <f t="shared" si="17"/>
        <v>53030.873841612018</v>
      </c>
      <c r="G37" s="486">
        <f t="shared" si="18"/>
        <v>8476.4511400361807</v>
      </c>
      <c r="H37" s="455">
        <f t="shared" si="19"/>
        <v>8476.4511400361807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3"/>
    </row>
    <row r="38" spans="2:16">
      <c r="B38" s="160" t="str">
        <f t="shared" si="6"/>
        <v/>
      </c>
      <c r="C38" s="472">
        <f>IF(D11="","-",+C37+1)</f>
        <v>2031</v>
      </c>
      <c r="D38" s="485">
        <f>IF(F37+SUM(E$17:E37)=D$10,F37,D$10-SUM(E$17:E37))</f>
        <v>53030.873841612018</v>
      </c>
      <c r="E38" s="484">
        <f>IF(+I14&lt;F37,I14,D38)</f>
        <v>2245.7209302325582</v>
      </c>
      <c r="F38" s="485">
        <f t="shared" si="17"/>
        <v>50785.15291137946</v>
      </c>
      <c r="G38" s="486">
        <f t="shared" si="18"/>
        <v>8218.0667197940893</v>
      </c>
      <c r="H38" s="455">
        <f t="shared" si="19"/>
        <v>8218.0667197940893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3"/>
    </row>
    <row r="39" spans="2:16">
      <c r="B39" s="160" t="str">
        <f t="shared" si="6"/>
        <v/>
      </c>
      <c r="C39" s="472">
        <f>IF(D11="","-",+C38+1)</f>
        <v>2032</v>
      </c>
      <c r="D39" s="485">
        <f>IF(F38+SUM(E$17:E38)=D$10,F38,D$10-SUM(E$17:E38))</f>
        <v>50785.15291137946</v>
      </c>
      <c r="E39" s="484">
        <f>IF(+I14&lt;F38,I14,D39)</f>
        <v>2245.7209302325582</v>
      </c>
      <c r="F39" s="485">
        <f t="shared" si="17"/>
        <v>48539.431981146903</v>
      </c>
      <c r="G39" s="486">
        <f t="shared" si="18"/>
        <v>7959.6822995519951</v>
      </c>
      <c r="H39" s="455">
        <f t="shared" si="19"/>
        <v>7959.6822995519951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3"/>
    </row>
    <row r="40" spans="2:16">
      <c r="B40" s="160" t="str">
        <f t="shared" si="6"/>
        <v/>
      </c>
      <c r="C40" s="472">
        <f>IF(D11="","-",+C39+1)</f>
        <v>2033</v>
      </c>
      <c r="D40" s="485">
        <f>IF(F39+SUM(E$17:E39)=D$10,F39,D$10-SUM(E$17:E39))</f>
        <v>48539.431981146903</v>
      </c>
      <c r="E40" s="484">
        <f>IF(+I14&lt;F39,I14,D40)</f>
        <v>2245.7209302325582</v>
      </c>
      <c r="F40" s="485">
        <f t="shared" si="17"/>
        <v>46293.711050914346</v>
      </c>
      <c r="G40" s="486">
        <f t="shared" si="18"/>
        <v>7701.2978793099046</v>
      </c>
      <c r="H40" s="455">
        <f t="shared" si="19"/>
        <v>7701.2978793099046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3"/>
    </row>
    <row r="41" spans="2:16">
      <c r="B41" s="160" t="str">
        <f t="shared" si="6"/>
        <v/>
      </c>
      <c r="C41" s="472">
        <f>IF(D11="","-",+C40+1)</f>
        <v>2034</v>
      </c>
      <c r="D41" s="485">
        <f>IF(F40+SUM(E$17:E40)=D$10,F40,D$10-SUM(E$17:E40))</f>
        <v>46293.711050914346</v>
      </c>
      <c r="E41" s="484">
        <f>IF(+I14&lt;F40,I14,D41)</f>
        <v>2245.7209302325582</v>
      </c>
      <c r="F41" s="485">
        <f t="shared" si="17"/>
        <v>44047.990120681789</v>
      </c>
      <c r="G41" s="486">
        <f t="shared" si="18"/>
        <v>7442.9134590678113</v>
      </c>
      <c r="H41" s="455">
        <f t="shared" si="19"/>
        <v>7442.9134590678113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3"/>
    </row>
    <row r="42" spans="2:16">
      <c r="B42" s="160" t="str">
        <f t="shared" si="6"/>
        <v/>
      </c>
      <c r="C42" s="472">
        <f>IF(D11="","-",+C41+1)</f>
        <v>2035</v>
      </c>
      <c r="D42" s="485">
        <f>IF(F41+SUM(E$17:E41)=D$10,F41,D$10-SUM(E$17:E41))</f>
        <v>44047.990120681789</v>
      </c>
      <c r="E42" s="484">
        <f>IF(+I14&lt;F41,I14,D42)</f>
        <v>2245.7209302325582</v>
      </c>
      <c r="F42" s="485">
        <f t="shared" si="17"/>
        <v>41802.269190449231</v>
      </c>
      <c r="G42" s="486">
        <f t="shared" si="18"/>
        <v>7184.5290388257199</v>
      </c>
      <c r="H42" s="455">
        <f t="shared" si="19"/>
        <v>7184.5290388257199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3"/>
    </row>
    <row r="43" spans="2:16">
      <c r="B43" s="160" t="str">
        <f t="shared" si="6"/>
        <v/>
      </c>
      <c r="C43" s="472">
        <f>IF(D11="","-",+C42+1)</f>
        <v>2036</v>
      </c>
      <c r="D43" s="485">
        <f>IF(F42+SUM(E$17:E42)=D$10,F42,D$10-SUM(E$17:E42))</f>
        <v>41802.269190449231</v>
      </c>
      <c r="E43" s="484">
        <f>IF(+I14&lt;F42,I14,D43)</f>
        <v>2245.7209302325582</v>
      </c>
      <c r="F43" s="485">
        <f t="shared" si="17"/>
        <v>39556.548260216674</v>
      </c>
      <c r="G43" s="486">
        <f t="shared" si="18"/>
        <v>6926.1446185836267</v>
      </c>
      <c r="H43" s="455">
        <f t="shared" si="19"/>
        <v>6926.1446185836267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3"/>
    </row>
    <row r="44" spans="2:16">
      <c r="B44" s="160" t="str">
        <f t="shared" si="6"/>
        <v/>
      </c>
      <c r="C44" s="472">
        <f>IF(D11="","-",+C43+1)</f>
        <v>2037</v>
      </c>
      <c r="D44" s="485">
        <f>IF(F43+SUM(E$17:E43)=D$10,F43,D$10-SUM(E$17:E43))</f>
        <v>39556.548260216674</v>
      </c>
      <c r="E44" s="484">
        <f>IF(+I14&lt;F43,I14,D44)</f>
        <v>2245.7209302325582</v>
      </c>
      <c r="F44" s="485">
        <f t="shared" si="17"/>
        <v>37310.827329984117</v>
      </c>
      <c r="G44" s="486">
        <f t="shared" si="18"/>
        <v>6667.7601983415352</v>
      </c>
      <c r="H44" s="455">
        <f t="shared" si="19"/>
        <v>6667.7601983415352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3"/>
    </row>
    <row r="45" spans="2:16">
      <c r="B45" s="160" t="str">
        <f t="shared" si="6"/>
        <v/>
      </c>
      <c r="C45" s="472">
        <f>IF(D11="","-",+C44+1)</f>
        <v>2038</v>
      </c>
      <c r="D45" s="485">
        <f>IF(F44+SUM(E$17:E44)=D$10,F44,D$10-SUM(E$17:E44))</f>
        <v>37310.827329984117</v>
      </c>
      <c r="E45" s="484">
        <f>IF(+I14&lt;F44,I14,D45)</f>
        <v>2245.7209302325582</v>
      </c>
      <c r="F45" s="485">
        <f t="shared" si="17"/>
        <v>35065.106399751559</v>
      </c>
      <c r="G45" s="486">
        <f t="shared" si="18"/>
        <v>6409.3757780994429</v>
      </c>
      <c r="H45" s="455">
        <f t="shared" si="19"/>
        <v>6409.3757780994429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3"/>
    </row>
    <row r="46" spans="2:16">
      <c r="B46" s="160" t="str">
        <f t="shared" si="6"/>
        <v/>
      </c>
      <c r="C46" s="472">
        <f>IF(D11="","-",+C45+1)</f>
        <v>2039</v>
      </c>
      <c r="D46" s="485">
        <f>IF(F45+SUM(E$17:E45)=D$10,F45,D$10-SUM(E$17:E45))</f>
        <v>35065.106399751559</v>
      </c>
      <c r="E46" s="484">
        <f>IF(+I14&lt;F45,I14,D46)</f>
        <v>2245.7209302325582</v>
      </c>
      <c r="F46" s="485">
        <f t="shared" si="17"/>
        <v>32819.385469519002</v>
      </c>
      <c r="G46" s="486">
        <f t="shared" si="18"/>
        <v>6150.9913578573514</v>
      </c>
      <c r="H46" s="455">
        <f t="shared" si="19"/>
        <v>6150.9913578573514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3"/>
    </row>
    <row r="47" spans="2:16">
      <c r="B47" s="160" t="str">
        <f t="shared" si="6"/>
        <v/>
      </c>
      <c r="C47" s="472">
        <f>IF(D11="","-",+C46+1)</f>
        <v>2040</v>
      </c>
      <c r="D47" s="485">
        <f>IF(F46+SUM(E$17:E46)=D$10,F46,D$10-SUM(E$17:E46))</f>
        <v>32819.385469519002</v>
      </c>
      <c r="E47" s="484">
        <f>IF(+I14&lt;F46,I14,D47)</f>
        <v>2245.7209302325582</v>
      </c>
      <c r="F47" s="485">
        <f t="shared" si="17"/>
        <v>30573.664539286445</v>
      </c>
      <c r="G47" s="486">
        <f t="shared" si="18"/>
        <v>5892.6069376152591</v>
      </c>
      <c r="H47" s="455">
        <f t="shared" si="19"/>
        <v>5892.6069376152591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3"/>
    </row>
    <row r="48" spans="2:16">
      <c r="B48" s="160" t="str">
        <f t="shared" si="6"/>
        <v/>
      </c>
      <c r="C48" s="472">
        <f>IF(D11="","-",+C47+1)</f>
        <v>2041</v>
      </c>
      <c r="D48" s="485">
        <f>IF(F47+SUM(E$17:E47)=D$10,F47,D$10-SUM(E$17:E47))</f>
        <v>30573.664539286445</v>
      </c>
      <c r="E48" s="484">
        <f>IF(+I14&lt;F47,I14,D48)</f>
        <v>2245.7209302325582</v>
      </c>
      <c r="F48" s="485">
        <f t="shared" si="17"/>
        <v>28327.943609053887</v>
      </c>
      <c r="G48" s="486">
        <f t="shared" si="18"/>
        <v>5634.2225173731667</v>
      </c>
      <c r="H48" s="455">
        <f t="shared" si="19"/>
        <v>5634.2225173731667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3"/>
    </row>
    <row r="49" spans="2:16">
      <c r="B49" s="160" t="str">
        <f t="shared" si="6"/>
        <v/>
      </c>
      <c r="C49" s="472">
        <f>IF(D11="","-",+C48+1)</f>
        <v>2042</v>
      </c>
      <c r="D49" s="485">
        <f>IF(F48+SUM(E$17:E48)=D$10,F48,D$10-SUM(E$17:E48))</f>
        <v>28327.943609053887</v>
      </c>
      <c r="E49" s="484">
        <f>IF(+I14&lt;F48,I14,D49)</f>
        <v>2245.7209302325582</v>
      </c>
      <c r="F49" s="485">
        <f t="shared" ref="F49:F72" si="20">+D49-E49</f>
        <v>26082.22267882133</v>
      </c>
      <c r="G49" s="486">
        <f t="shared" si="18"/>
        <v>5375.8380971310744</v>
      </c>
      <c r="H49" s="455">
        <f t="shared" si="19"/>
        <v>5375.8380971310744</v>
      </c>
      <c r="I49" s="475">
        <f t="shared" ref="I49:I72" si="21">H49-G49</f>
        <v>0</v>
      </c>
      <c r="J49" s="475"/>
      <c r="K49" s="487"/>
      <c r="L49" s="478">
        <f t="shared" ref="L49:L72" si="22">IF(K49&lt;&gt;0,+G49-K49,0)</f>
        <v>0</v>
      </c>
      <c r="M49" s="487"/>
      <c r="N49" s="478">
        <f t="shared" ref="N49:N72" si="23">IF(M49&lt;&gt;0,+H49-M49,0)</f>
        <v>0</v>
      </c>
      <c r="O49" s="478">
        <f t="shared" ref="O49:O72" si="24">+N49-L49</f>
        <v>0</v>
      </c>
      <c r="P49" s="243"/>
    </row>
    <row r="50" spans="2:16">
      <c r="B50" s="160" t="str">
        <f t="shared" si="6"/>
        <v/>
      </c>
      <c r="C50" s="472">
        <f>IF(D11="","-",+C49+1)</f>
        <v>2043</v>
      </c>
      <c r="D50" s="485">
        <f>IF(F49+SUM(E$17:E49)=D$10,F49,D$10-SUM(E$17:E49))</f>
        <v>26082.22267882133</v>
      </c>
      <c r="E50" s="484">
        <f>IF(+I14&lt;F49,I14,D50)</f>
        <v>2245.7209302325582</v>
      </c>
      <c r="F50" s="485">
        <f t="shared" si="20"/>
        <v>23836.501748588773</v>
      </c>
      <c r="G50" s="486">
        <f t="shared" si="18"/>
        <v>5117.453676888983</v>
      </c>
      <c r="H50" s="455">
        <f t="shared" si="19"/>
        <v>5117.453676888983</v>
      </c>
      <c r="I50" s="475">
        <f t="shared" si="21"/>
        <v>0</v>
      </c>
      <c r="J50" s="475"/>
      <c r="K50" s="487"/>
      <c r="L50" s="478">
        <f t="shared" si="22"/>
        <v>0</v>
      </c>
      <c r="M50" s="487"/>
      <c r="N50" s="478">
        <f t="shared" si="23"/>
        <v>0</v>
      </c>
      <c r="O50" s="478">
        <f t="shared" si="24"/>
        <v>0</v>
      </c>
      <c r="P50" s="243"/>
    </row>
    <row r="51" spans="2:16">
      <c r="B51" s="160" t="str">
        <f t="shared" si="6"/>
        <v/>
      </c>
      <c r="C51" s="472">
        <f>IF(D11="","-",+C50+1)</f>
        <v>2044</v>
      </c>
      <c r="D51" s="485">
        <f>IF(F50+SUM(E$17:E50)=D$10,F50,D$10-SUM(E$17:E50))</f>
        <v>23836.501748588773</v>
      </c>
      <c r="E51" s="484">
        <f>IF(+I14&lt;F50,I14,D51)</f>
        <v>2245.7209302325582</v>
      </c>
      <c r="F51" s="485">
        <f t="shared" si="20"/>
        <v>21590.780818356216</v>
      </c>
      <c r="G51" s="486">
        <f t="shared" si="18"/>
        <v>4859.0692566468897</v>
      </c>
      <c r="H51" s="455">
        <f t="shared" si="19"/>
        <v>4859.0692566468897</v>
      </c>
      <c r="I51" s="475">
        <f t="shared" si="21"/>
        <v>0</v>
      </c>
      <c r="J51" s="475"/>
      <c r="K51" s="487"/>
      <c r="L51" s="478">
        <f t="shared" si="22"/>
        <v>0</v>
      </c>
      <c r="M51" s="487"/>
      <c r="N51" s="478">
        <f t="shared" si="23"/>
        <v>0</v>
      </c>
      <c r="O51" s="478">
        <f t="shared" si="24"/>
        <v>0</v>
      </c>
      <c r="P51" s="243"/>
    </row>
    <row r="52" spans="2:16">
      <c r="B52" s="160" t="str">
        <f t="shared" si="6"/>
        <v/>
      </c>
      <c r="C52" s="472">
        <f>IF(D11="","-",+C51+1)</f>
        <v>2045</v>
      </c>
      <c r="D52" s="485">
        <f>IF(F51+SUM(E$17:E51)=D$10,F51,D$10-SUM(E$17:E51))</f>
        <v>21590.780818356216</v>
      </c>
      <c r="E52" s="484">
        <f>IF(+I14&lt;F51,I14,D52)</f>
        <v>2245.7209302325582</v>
      </c>
      <c r="F52" s="485">
        <f t="shared" si="20"/>
        <v>19345.059888123658</v>
      </c>
      <c r="G52" s="486">
        <f t="shared" si="18"/>
        <v>4600.6848364047983</v>
      </c>
      <c r="H52" s="455">
        <f t="shared" si="19"/>
        <v>4600.6848364047983</v>
      </c>
      <c r="I52" s="475">
        <f t="shared" si="21"/>
        <v>0</v>
      </c>
      <c r="J52" s="475"/>
      <c r="K52" s="487"/>
      <c r="L52" s="478">
        <f t="shared" si="22"/>
        <v>0</v>
      </c>
      <c r="M52" s="487"/>
      <c r="N52" s="478">
        <f t="shared" si="23"/>
        <v>0</v>
      </c>
      <c r="O52" s="478">
        <f t="shared" si="24"/>
        <v>0</v>
      </c>
      <c r="P52" s="243"/>
    </row>
    <row r="53" spans="2:16">
      <c r="B53" s="160" t="str">
        <f t="shared" si="6"/>
        <v/>
      </c>
      <c r="C53" s="472">
        <f>IF(D11="","-",+C52+1)</f>
        <v>2046</v>
      </c>
      <c r="D53" s="485">
        <f>IF(F52+SUM(E$17:E52)=D$10,F52,D$10-SUM(E$17:E52))</f>
        <v>19345.059888123658</v>
      </c>
      <c r="E53" s="484">
        <f>IF(+I14&lt;F52,I14,D53)</f>
        <v>2245.7209302325582</v>
      </c>
      <c r="F53" s="485">
        <f t="shared" si="20"/>
        <v>17099.338957891101</v>
      </c>
      <c r="G53" s="486">
        <f t="shared" si="18"/>
        <v>4342.3004161627059</v>
      </c>
      <c r="H53" s="455">
        <f t="shared" si="19"/>
        <v>4342.3004161627059</v>
      </c>
      <c r="I53" s="475">
        <f t="shared" si="21"/>
        <v>0</v>
      </c>
      <c r="J53" s="475"/>
      <c r="K53" s="487"/>
      <c r="L53" s="478">
        <f t="shared" si="22"/>
        <v>0</v>
      </c>
      <c r="M53" s="487"/>
      <c r="N53" s="478">
        <f t="shared" si="23"/>
        <v>0</v>
      </c>
      <c r="O53" s="478">
        <f t="shared" si="24"/>
        <v>0</v>
      </c>
      <c r="P53" s="243"/>
    </row>
    <row r="54" spans="2:16">
      <c r="B54" s="160" t="str">
        <f t="shared" si="6"/>
        <v/>
      </c>
      <c r="C54" s="472">
        <f>IF(D11="","-",+C53+1)</f>
        <v>2047</v>
      </c>
      <c r="D54" s="485">
        <f>IF(F53+SUM(E$17:E53)=D$10,F53,D$10-SUM(E$17:E53))</f>
        <v>17099.338957891101</v>
      </c>
      <c r="E54" s="484">
        <f>IF(+I14&lt;F53,I14,D54)</f>
        <v>2245.7209302325582</v>
      </c>
      <c r="F54" s="485">
        <f t="shared" si="20"/>
        <v>14853.618027658544</v>
      </c>
      <c r="G54" s="486">
        <f t="shared" si="18"/>
        <v>4083.9159959206136</v>
      </c>
      <c r="H54" s="455">
        <f t="shared" si="19"/>
        <v>4083.9159959206136</v>
      </c>
      <c r="I54" s="475">
        <f t="shared" si="21"/>
        <v>0</v>
      </c>
      <c r="J54" s="475"/>
      <c r="K54" s="487"/>
      <c r="L54" s="478">
        <f t="shared" si="22"/>
        <v>0</v>
      </c>
      <c r="M54" s="487"/>
      <c r="N54" s="478">
        <f t="shared" si="23"/>
        <v>0</v>
      </c>
      <c r="O54" s="478">
        <f t="shared" si="24"/>
        <v>0</v>
      </c>
      <c r="P54" s="243"/>
    </row>
    <row r="55" spans="2:16">
      <c r="B55" s="160" t="str">
        <f t="shared" si="6"/>
        <v/>
      </c>
      <c r="C55" s="472">
        <f>IF(D11="","-",+C54+1)</f>
        <v>2048</v>
      </c>
      <c r="D55" s="485">
        <f>IF(F54+SUM(E$17:E54)=D$10,F54,D$10-SUM(E$17:E54))</f>
        <v>14853.618027658544</v>
      </c>
      <c r="E55" s="484">
        <f>IF(+I14&lt;F54,I14,D55)</f>
        <v>2245.7209302325582</v>
      </c>
      <c r="F55" s="485">
        <f t="shared" si="20"/>
        <v>12607.897097425986</v>
      </c>
      <c r="G55" s="486">
        <f t="shared" si="18"/>
        <v>3825.5315756785212</v>
      </c>
      <c r="H55" s="455">
        <f t="shared" si="19"/>
        <v>3825.5315756785212</v>
      </c>
      <c r="I55" s="475">
        <f t="shared" si="21"/>
        <v>0</v>
      </c>
      <c r="J55" s="475"/>
      <c r="K55" s="487"/>
      <c r="L55" s="478">
        <f t="shared" si="22"/>
        <v>0</v>
      </c>
      <c r="M55" s="487"/>
      <c r="N55" s="478">
        <f t="shared" si="23"/>
        <v>0</v>
      </c>
      <c r="O55" s="478">
        <f t="shared" si="24"/>
        <v>0</v>
      </c>
      <c r="P55" s="243"/>
    </row>
    <row r="56" spans="2:16">
      <c r="B56" s="160" t="str">
        <f t="shared" si="6"/>
        <v/>
      </c>
      <c r="C56" s="472">
        <f>IF(D11="","-",+C55+1)</f>
        <v>2049</v>
      </c>
      <c r="D56" s="485">
        <f>IF(F55+SUM(E$17:E55)=D$10,F55,D$10-SUM(E$17:E55))</f>
        <v>12607.897097425986</v>
      </c>
      <c r="E56" s="484">
        <f>IF(+I14&lt;F55,I14,D56)</f>
        <v>2245.7209302325582</v>
      </c>
      <c r="F56" s="485">
        <f t="shared" si="20"/>
        <v>10362.176167193429</v>
      </c>
      <c r="G56" s="486">
        <f t="shared" si="18"/>
        <v>3567.1471554364293</v>
      </c>
      <c r="H56" s="455">
        <f t="shared" si="19"/>
        <v>3567.1471554364293</v>
      </c>
      <c r="I56" s="475">
        <f t="shared" si="21"/>
        <v>0</v>
      </c>
      <c r="J56" s="475"/>
      <c r="K56" s="487"/>
      <c r="L56" s="478">
        <f t="shared" si="22"/>
        <v>0</v>
      </c>
      <c r="M56" s="487"/>
      <c r="N56" s="478">
        <f t="shared" si="23"/>
        <v>0</v>
      </c>
      <c r="O56" s="478">
        <f t="shared" si="24"/>
        <v>0</v>
      </c>
      <c r="P56" s="243"/>
    </row>
    <row r="57" spans="2:16">
      <c r="B57" s="160" t="str">
        <f t="shared" si="6"/>
        <v/>
      </c>
      <c r="C57" s="472">
        <f>IF(D11="","-",+C56+1)</f>
        <v>2050</v>
      </c>
      <c r="D57" s="485">
        <f>IF(F56+SUM(E$17:E56)=D$10,F56,D$10-SUM(E$17:E56))</f>
        <v>10362.176167193429</v>
      </c>
      <c r="E57" s="484">
        <f>IF(+I14&lt;F56,I14,D57)</f>
        <v>2245.7209302325582</v>
      </c>
      <c r="F57" s="485">
        <f t="shared" si="20"/>
        <v>8116.4552369608709</v>
      </c>
      <c r="G57" s="486">
        <f t="shared" si="18"/>
        <v>3308.7627351943374</v>
      </c>
      <c r="H57" s="455">
        <f t="shared" si="19"/>
        <v>3308.7627351943374</v>
      </c>
      <c r="I57" s="475">
        <f t="shared" si="21"/>
        <v>0</v>
      </c>
      <c r="J57" s="475"/>
      <c r="K57" s="487"/>
      <c r="L57" s="478">
        <f t="shared" si="22"/>
        <v>0</v>
      </c>
      <c r="M57" s="487"/>
      <c r="N57" s="478">
        <f t="shared" si="23"/>
        <v>0</v>
      </c>
      <c r="O57" s="478">
        <f t="shared" si="24"/>
        <v>0</v>
      </c>
      <c r="P57" s="243"/>
    </row>
    <row r="58" spans="2:16">
      <c r="B58" s="160" t="str">
        <f t="shared" si="6"/>
        <v/>
      </c>
      <c r="C58" s="472">
        <f>IF(D11="","-",+C57+1)</f>
        <v>2051</v>
      </c>
      <c r="D58" s="485">
        <f>IF(F57+SUM(E$17:E57)=D$10,F57,D$10-SUM(E$17:E57))</f>
        <v>8116.4552369608709</v>
      </c>
      <c r="E58" s="484">
        <f>IF(+I14&lt;F57,I14,D58)</f>
        <v>2245.7209302325582</v>
      </c>
      <c r="F58" s="485">
        <f t="shared" si="20"/>
        <v>5870.7343067283127</v>
      </c>
      <c r="G58" s="486">
        <f t="shared" si="18"/>
        <v>3050.3783149522451</v>
      </c>
      <c r="H58" s="455">
        <f t="shared" si="19"/>
        <v>3050.3783149522451</v>
      </c>
      <c r="I58" s="475">
        <f t="shared" si="21"/>
        <v>0</v>
      </c>
      <c r="J58" s="475"/>
      <c r="K58" s="487"/>
      <c r="L58" s="478">
        <f t="shared" si="22"/>
        <v>0</v>
      </c>
      <c r="M58" s="487"/>
      <c r="N58" s="478">
        <f t="shared" si="23"/>
        <v>0</v>
      </c>
      <c r="O58" s="478">
        <f t="shared" si="24"/>
        <v>0</v>
      </c>
      <c r="P58" s="243"/>
    </row>
    <row r="59" spans="2:16">
      <c r="B59" s="160" t="str">
        <f t="shared" si="6"/>
        <v/>
      </c>
      <c r="C59" s="472">
        <f>IF(D11="","-",+C58+1)</f>
        <v>2052</v>
      </c>
      <c r="D59" s="485">
        <f>IF(F58+SUM(E$17:E58)=D$10,F58,D$10-SUM(E$17:E58))</f>
        <v>5870.7343067283127</v>
      </c>
      <c r="E59" s="484">
        <f>IF(+I14&lt;F58,I14,D59)</f>
        <v>2245.7209302325582</v>
      </c>
      <c r="F59" s="485">
        <f t="shared" si="20"/>
        <v>3625.0133764957545</v>
      </c>
      <c r="G59" s="486">
        <f t="shared" si="18"/>
        <v>2791.9938947101527</v>
      </c>
      <c r="H59" s="455">
        <f t="shared" si="19"/>
        <v>2791.9938947101527</v>
      </c>
      <c r="I59" s="475">
        <f t="shared" si="21"/>
        <v>0</v>
      </c>
      <c r="J59" s="475"/>
      <c r="K59" s="487"/>
      <c r="L59" s="478">
        <f t="shared" si="22"/>
        <v>0</v>
      </c>
      <c r="M59" s="487"/>
      <c r="N59" s="478">
        <f t="shared" si="23"/>
        <v>0</v>
      </c>
      <c r="O59" s="478">
        <f t="shared" si="24"/>
        <v>0</v>
      </c>
      <c r="P59" s="243"/>
    </row>
    <row r="60" spans="2:16">
      <c r="B60" s="160" t="str">
        <f t="shared" si="6"/>
        <v>IU</v>
      </c>
      <c r="C60" s="472">
        <f>IF(D11="","-",+C59+1)</f>
        <v>2053</v>
      </c>
      <c r="D60" s="485">
        <f>IF(F59+SUM(E$17:E59)=D$10,F59,D$10-SUM(E$17:E59))</f>
        <v>3625.013376495699</v>
      </c>
      <c r="E60" s="484">
        <f>IF(+I14&lt;F59,I14,D60)</f>
        <v>2245.7209302325582</v>
      </c>
      <c r="F60" s="485">
        <f t="shared" si="20"/>
        <v>1379.2924462631408</v>
      </c>
      <c r="G60" s="486">
        <f t="shared" si="18"/>
        <v>2533.609474468054</v>
      </c>
      <c r="H60" s="455">
        <f t="shared" si="19"/>
        <v>2533.609474468054</v>
      </c>
      <c r="I60" s="475">
        <f t="shared" si="21"/>
        <v>0</v>
      </c>
      <c r="J60" s="475"/>
      <c r="K60" s="487"/>
      <c r="L60" s="478">
        <f t="shared" si="22"/>
        <v>0</v>
      </c>
      <c r="M60" s="487"/>
      <c r="N60" s="478">
        <f t="shared" si="23"/>
        <v>0</v>
      </c>
      <c r="O60" s="478">
        <f t="shared" si="24"/>
        <v>0</v>
      </c>
      <c r="P60" s="243"/>
    </row>
    <row r="61" spans="2:16">
      <c r="B61" s="160" t="str">
        <f t="shared" si="6"/>
        <v/>
      </c>
      <c r="C61" s="472">
        <f>IF(D11="","-",+C60+1)</f>
        <v>2054</v>
      </c>
      <c r="D61" s="485">
        <f>IF(F60+SUM(E$17:E60)=D$10,F60,D$10-SUM(E$17:E60))</f>
        <v>1379.2924462631408</v>
      </c>
      <c r="E61" s="484">
        <f>IF(+I14&lt;F60,I14,D61)</f>
        <v>1379.2924462631408</v>
      </c>
      <c r="F61" s="485">
        <f t="shared" si="20"/>
        <v>0</v>
      </c>
      <c r="G61" s="486">
        <f t="shared" si="18"/>
        <v>1458.6406133203657</v>
      </c>
      <c r="H61" s="455">
        <f t="shared" si="19"/>
        <v>1458.6406133203657</v>
      </c>
      <c r="I61" s="475">
        <f t="shared" si="21"/>
        <v>0</v>
      </c>
      <c r="J61" s="475"/>
      <c r="K61" s="487"/>
      <c r="L61" s="478">
        <f t="shared" si="22"/>
        <v>0</v>
      </c>
      <c r="M61" s="487"/>
      <c r="N61" s="478">
        <f t="shared" si="23"/>
        <v>0</v>
      </c>
      <c r="O61" s="478">
        <f t="shared" si="24"/>
        <v>0</v>
      </c>
      <c r="P61" s="243"/>
    </row>
    <row r="62" spans="2:16">
      <c r="B62" s="160" t="str">
        <f t="shared" si="6"/>
        <v/>
      </c>
      <c r="C62" s="472">
        <f>IF(D11="","-",+C61+1)</f>
        <v>2055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0"/>
        <v>0</v>
      </c>
      <c r="G62" s="486">
        <f t="shared" si="18"/>
        <v>0</v>
      </c>
      <c r="H62" s="455">
        <f t="shared" si="19"/>
        <v>0</v>
      </c>
      <c r="I62" s="475">
        <f t="shared" si="21"/>
        <v>0</v>
      </c>
      <c r="J62" s="475"/>
      <c r="K62" s="487"/>
      <c r="L62" s="478">
        <f t="shared" si="22"/>
        <v>0</v>
      </c>
      <c r="M62" s="487"/>
      <c r="N62" s="478">
        <f t="shared" si="23"/>
        <v>0</v>
      </c>
      <c r="O62" s="478">
        <f t="shared" si="24"/>
        <v>0</v>
      </c>
      <c r="P62" s="243"/>
    </row>
    <row r="63" spans="2:16">
      <c r="B63" s="160" t="str">
        <f t="shared" si="6"/>
        <v/>
      </c>
      <c r="C63" s="472">
        <f>IF(D11="","-",+C62+1)</f>
        <v>2056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6">
        <f t="shared" si="18"/>
        <v>0</v>
      </c>
      <c r="H63" s="455">
        <f t="shared" si="19"/>
        <v>0</v>
      </c>
      <c r="I63" s="475">
        <f t="shared" si="21"/>
        <v>0</v>
      </c>
      <c r="J63" s="475"/>
      <c r="K63" s="487"/>
      <c r="L63" s="478">
        <f t="shared" si="22"/>
        <v>0</v>
      </c>
      <c r="M63" s="487"/>
      <c r="N63" s="478">
        <f t="shared" si="23"/>
        <v>0</v>
      </c>
      <c r="O63" s="478">
        <f t="shared" si="24"/>
        <v>0</v>
      </c>
      <c r="P63" s="243"/>
    </row>
    <row r="64" spans="2:16">
      <c r="B64" s="160" t="str">
        <f t="shared" si="6"/>
        <v/>
      </c>
      <c r="C64" s="472">
        <f>IF(D11="","-",+C63+1)</f>
        <v>2057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6">
        <f t="shared" si="18"/>
        <v>0</v>
      </c>
      <c r="H64" s="455">
        <f t="shared" si="19"/>
        <v>0</v>
      </c>
      <c r="I64" s="475">
        <f t="shared" si="21"/>
        <v>0</v>
      </c>
      <c r="J64" s="475"/>
      <c r="K64" s="487"/>
      <c r="L64" s="478">
        <f t="shared" si="22"/>
        <v>0</v>
      </c>
      <c r="M64" s="487"/>
      <c r="N64" s="478">
        <f t="shared" si="23"/>
        <v>0</v>
      </c>
      <c r="O64" s="478">
        <f t="shared" si="24"/>
        <v>0</v>
      </c>
      <c r="P64" s="243"/>
    </row>
    <row r="65" spans="2:16">
      <c r="B65" s="565" t="str">
        <f t="shared" si="6"/>
        <v/>
      </c>
      <c r="C65" s="472">
        <f>IF(D11="","-",+C64+1)</f>
        <v>2058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6">
        <f t="shared" si="18"/>
        <v>0</v>
      </c>
      <c r="H65" s="455">
        <f t="shared" si="19"/>
        <v>0</v>
      </c>
      <c r="I65" s="475">
        <f t="shared" si="21"/>
        <v>0</v>
      </c>
      <c r="J65" s="475"/>
      <c r="K65" s="487"/>
      <c r="L65" s="478">
        <f t="shared" si="22"/>
        <v>0</v>
      </c>
      <c r="M65" s="487"/>
      <c r="N65" s="478">
        <f t="shared" si="23"/>
        <v>0</v>
      </c>
      <c r="O65" s="478">
        <f t="shared" si="24"/>
        <v>0</v>
      </c>
      <c r="P65" s="243"/>
    </row>
    <row r="66" spans="2:16">
      <c r="B66" s="160" t="str">
        <f t="shared" si="6"/>
        <v/>
      </c>
      <c r="C66" s="472">
        <f>IF(D11="","-",+C65+1)</f>
        <v>2059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6">
        <f t="shared" si="18"/>
        <v>0</v>
      </c>
      <c r="H66" s="455">
        <f t="shared" si="19"/>
        <v>0</v>
      </c>
      <c r="I66" s="475">
        <f t="shared" si="21"/>
        <v>0</v>
      </c>
      <c r="J66" s="475"/>
      <c r="K66" s="487"/>
      <c r="L66" s="478">
        <f t="shared" si="22"/>
        <v>0</v>
      </c>
      <c r="M66" s="487"/>
      <c r="N66" s="478">
        <f t="shared" si="23"/>
        <v>0</v>
      </c>
      <c r="O66" s="478">
        <f t="shared" si="24"/>
        <v>0</v>
      </c>
      <c r="P66" s="243"/>
    </row>
    <row r="67" spans="2:16">
      <c r="B67" s="160" t="str">
        <f t="shared" si="6"/>
        <v/>
      </c>
      <c r="C67" s="472">
        <f>IF(D11="","-",+C66+1)</f>
        <v>2060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6">
        <f t="shared" si="18"/>
        <v>0</v>
      </c>
      <c r="H67" s="455">
        <f t="shared" si="19"/>
        <v>0</v>
      </c>
      <c r="I67" s="475">
        <f t="shared" si="21"/>
        <v>0</v>
      </c>
      <c r="J67" s="475"/>
      <c r="K67" s="487"/>
      <c r="L67" s="478">
        <f t="shared" si="22"/>
        <v>0</v>
      </c>
      <c r="M67" s="487"/>
      <c r="N67" s="478">
        <f t="shared" si="23"/>
        <v>0</v>
      </c>
      <c r="O67" s="478">
        <f t="shared" si="24"/>
        <v>0</v>
      </c>
      <c r="P67" s="243"/>
    </row>
    <row r="68" spans="2:16">
      <c r="B68" s="160" t="str">
        <f t="shared" si="6"/>
        <v/>
      </c>
      <c r="C68" s="472">
        <f>IF(D11="","-",+C67+1)</f>
        <v>2061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6">
        <f t="shared" si="18"/>
        <v>0</v>
      </c>
      <c r="H68" s="455">
        <f t="shared" si="19"/>
        <v>0</v>
      </c>
      <c r="I68" s="475">
        <f t="shared" si="21"/>
        <v>0</v>
      </c>
      <c r="J68" s="475"/>
      <c r="K68" s="487"/>
      <c r="L68" s="478">
        <f t="shared" si="22"/>
        <v>0</v>
      </c>
      <c r="M68" s="487"/>
      <c r="N68" s="478">
        <f t="shared" si="23"/>
        <v>0</v>
      </c>
      <c r="O68" s="478">
        <f t="shared" si="24"/>
        <v>0</v>
      </c>
      <c r="P68" s="243"/>
    </row>
    <row r="69" spans="2:16">
      <c r="B69" s="160" t="str">
        <f t="shared" si="6"/>
        <v/>
      </c>
      <c r="C69" s="472">
        <f>IF(D11="","-",+C68+1)</f>
        <v>2062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6">
        <f t="shared" si="18"/>
        <v>0</v>
      </c>
      <c r="H69" s="455">
        <f t="shared" si="19"/>
        <v>0</v>
      </c>
      <c r="I69" s="475">
        <f t="shared" si="21"/>
        <v>0</v>
      </c>
      <c r="J69" s="475"/>
      <c r="K69" s="487"/>
      <c r="L69" s="478">
        <f t="shared" si="22"/>
        <v>0</v>
      </c>
      <c r="M69" s="487"/>
      <c r="N69" s="478">
        <f t="shared" si="23"/>
        <v>0</v>
      </c>
      <c r="O69" s="478">
        <f t="shared" si="24"/>
        <v>0</v>
      </c>
      <c r="P69" s="243"/>
    </row>
    <row r="70" spans="2:16">
      <c r="B70" s="160" t="str">
        <f t="shared" si="6"/>
        <v/>
      </c>
      <c r="C70" s="472">
        <f>IF(D11="","-",+C69+1)</f>
        <v>2063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6">
        <f t="shared" si="18"/>
        <v>0</v>
      </c>
      <c r="H70" s="455">
        <f t="shared" si="19"/>
        <v>0</v>
      </c>
      <c r="I70" s="475">
        <f t="shared" si="21"/>
        <v>0</v>
      </c>
      <c r="J70" s="475"/>
      <c r="K70" s="487"/>
      <c r="L70" s="478">
        <f t="shared" si="22"/>
        <v>0</v>
      </c>
      <c r="M70" s="487"/>
      <c r="N70" s="478">
        <f t="shared" si="23"/>
        <v>0</v>
      </c>
      <c r="O70" s="478">
        <f t="shared" si="24"/>
        <v>0</v>
      </c>
      <c r="P70" s="243"/>
    </row>
    <row r="71" spans="2:16">
      <c r="B71" s="160" t="str">
        <f t="shared" si="6"/>
        <v/>
      </c>
      <c r="C71" s="472">
        <f>IF(D11="","-",+C70+1)</f>
        <v>2064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6">
        <f t="shared" si="18"/>
        <v>0</v>
      </c>
      <c r="H71" s="455">
        <f t="shared" si="19"/>
        <v>0</v>
      </c>
      <c r="I71" s="475">
        <f t="shared" si="21"/>
        <v>0</v>
      </c>
      <c r="J71" s="475"/>
      <c r="K71" s="487"/>
      <c r="L71" s="478">
        <f t="shared" si="22"/>
        <v>0</v>
      </c>
      <c r="M71" s="487"/>
      <c r="N71" s="478">
        <f t="shared" si="23"/>
        <v>0</v>
      </c>
      <c r="O71" s="478">
        <f t="shared" si="24"/>
        <v>0</v>
      </c>
      <c r="P71" s="243"/>
    </row>
    <row r="72" spans="2:16" ht="13.5" thickBot="1">
      <c r="B72" s="160" t="str">
        <f t="shared" si="6"/>
        <v/>
      </c>
      <c r="C72" s="489">
        <f>IF(D11="","-",+C71+1)</f>
        <v>2065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0">
        <f t="shared" si="18"/>
        <v>0</v>
      </c>
      <c r="H72" s="490">
        <f t="shared" si="19"/>
        <v>0</v>
      </c>
      <c r="I72" s="493">
        <f t="shared" si="21"/>
        <v>0</v>
      </c>
      <c r="J72" s="475"/>
      <c r="K72" s="494"/>
      <c r="L72" s="495">
        <f t="shared" si="22"/>
        <v>0</v>
      </c>
      <c r="M72" s="494"/>
      <c r="N72" s="495">
        <f t="shared" si="23"/>
        <v>0</v>
      </c>
      <c r="O72" s="495">
        <f t="shared" si="24"/>
        <v>0</v>
      </c>
      <c r="P72" s="243"/>
    </row>
    <row r="73" spans="2:16">
      <c r="C73" s="347" t="s">
        <v>77</v>
      </c>
      <c r="D73" s="348"/>
      <c r="E73" s="348">
        <f>SUM(E17:E72)</f>
        <v>96566</v>
      </c>
      <c r="F73" s="348"/>
      <c r="G73" s="348">
        <f>SUM(G17:G72)</f>
        <v>376516.68937921914</v>
      </c>
      <c r="H73" s="348">
        <f>SUM(H17:H72)</f>
        <v>376516.68937921914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10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10113.720930232557</v>
      </c>
      <c r="N87" s="508">
        <f>IF(J92&lt;D11,0,VLOOKUP(J92,C17:O72,11))</f>
        <v>10113.720930232557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10788.411477147845</v>
      </c>
      <c r="N88" s="512">
        <f>IF(J92&lt;D11,0,VLOOKUP(J92,C99:P154,7))</f>
        <v>10788.411477147845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Wavetrap Clinton City-Foss Tap 69kV Ckt 1*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674.690546915288</v>
      </c>
      <c r="N89" s="517">
        <f>+N88-N87</f>
        <v>674.690546915288</v>
      </c>
      <c r="O89" s="518">
        <f>+O88-O87</f>
        <v>0</v>
      </c>
      <c r="P89" s="233"/>
    </row>
    <row r="90" spans="1:16" ht="13.5" thickBot="1">
      <c r="C90" s="496"/>
      <c r="D90" s="519" t="str">
        <f>D8</f>
        <v>DOES NOT MEET SPP $100,000 MINIMUM INVESTMENT FOR REGIONAL BPU SHARING.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TP2009011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96566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2010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2355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2010</v>
      </c>
      <c r="D99" s="473">
        <v>0</v>
      </c>
      <c r="E99" s="480">
        <v>946.5</v>
      </c>
      <c r="F99" s="479">
        <v>95619.5</v>
      </c>
      <c r="G99" s="537">
        <v>47809.75</v>
      </c>
      <c r="H99" s="538">
        <v>8635.0355480484341</v>
      </c>
      <c r="I99" s="539">
        <v>8635.0355480484341</v>
      </c>
      <c r="J99" s="478">
        <f t="shared" ref="J99:J130" si="25">+I99-H99</f>
        <v>0</v>
      </c>
      <c r="K99" s="478"/>
      <c r="L99" s="567">
        <f t="shared" ref="L99:L104" si="26">H99</f>
        <v>8635.0355480484341</v>
      </c>
      <c r="M99" s="568">
        <f t="shared" ref="M99:M130" si="27">IF(L99&lt;&gt;0,+H99-L99,0)</f>
        <v>0</v>
      </c>
      <c r="N99" s="567">
        <f t="shared" ref="N99:N104" si="28">I99</f>
        <v>8635.0355480484341</v>
      </c>
      <c r="O99" s="477">
        <f t="shared" ref="O99:O130" si="29">IF(N99&lt;&gt;0,+I99-N99,0)</f>
        <v>0</v>
      </c>
      <c r="P99" s="477">
        <f t="shared" ref="P99:P130" si="30">+O99-M99</f>
        <v>0</v>
      </c>
    </row>
    <row r="100" spans="1:16">
      <c r="B100" s="160" t="str">
        <f>IF(D100=F99,"","IU")</f>
        <v/>
      </c>
      <c r="C100" s="472">
        <f>IF(D93="","-",+C99+1)</f>
        <v>2011</v>
      </c>
      <c r="D100" s="473">
        <v>95619.5</v>
      </c>
      <c r="E100" s="480">
        <v>1857</v>
      </c>
      <c r="F100" s="479">
        <v>93762.5</v>
      </c>
      <c r="G100" s="479">
        <v>94691</v>
      </c>
      <c r="H100" s="480">
        <v>15096.07425133265</v>
      </c>
      <c r="I100" s="481">
        <v>15096.07425133265</v>
      </c>
      <c r="J100" s="478">
        <f t="shared" si="25"/>
        <v>0</v>
      </c>
      <c r="K100" s="478"/>
      <c r="L100" s="540">
        <f t="shared" si="26"/>
        <v>15096.07425133265</v>
      </c>
      <c r="M100" s="541">
        <f t="shared" si="27"/>
        <v>0</v>
      </c>
      <c r="N100" s="540">
        <f t="shared" si="28"/>
        <v>15096.07425133265</v>
      </c>
      <c r="O100" s="478">
        <f t="shared" si="29"/>
        <v>0</v>
      </c>
      <c r="P100" s="478">
        <f t="shared" si="30"/>
        <v>0</v>
      </c>
    </row>
    <row r="101" spans="1:16">
      <c r="B101" s="160" t="str">
        <f t="shared" ref="B101:B154" si="31">IF(D101=F100,"","IU")</f>
        <v/>
      </c>
      <c r="C101" s="472">
        <f>IF(D93="","-",+C100+1)</f>
        <v>2012</v>
      </c>
      <c r="D101" s="473">
        <v>93762.5</v>
      </c>
      <c r="E101" s="480">
        <v>1857</v>
      </c>
      <c r="F101" s="479">
        <v>91905.5</v>
      </c>
      <c r="G101" s="479">
        <v>92834</v>
      </c>
      <c r="H101" s="480">
        <v>15211.679797187964</v>
      </c>
      <c r="I101" s="481">
        <v>15211.679797187964</v>
      </c>
      <c r="J101" s="478">
        <v>0</v>
      </c>
      <c r="K101" s="478"/>
      <c r="L101" s="540">
        <f t="shared" si="26"/>
        <v>15211.679797187964</v>
      </c>
      <c r="M101" s="541">
        <f t="shared" ref="M101:M106" si="32">IF(L101&lt;&gt;0,+H101-L101,0)</f>
        <v>0</v>
      </c>
      <c r="N101" s="540">
        <f t="shared" si="28"/>
        <v>15211.679797187964</v>
      </c>
      <c r="O101" s="478">
        <f t="shared" ref="O101:O106" si="33">IF(N101&lt;&gt;0,+I101-N101,0)</f>
        <v>0</v>
      </c>
      <c r="P101" s="478">
        <f t="shared" ref="P101:P106" si="34">+O101-M101</f>
        <v>0</v>
      </c>
    </row>
    <row r="102" spans="1:16">
      <c r="B102" s="160" t="str">
        <f t="shared" si="31"/>
        <v/>
      </c>
      <c r="C102" s="472">
        <f>IF(D93="","-",+C101+1)</f>
        <v>2013</v>
      </c>
      <c r="D102" s="473">
        <v>91905.5</v>
      </c>
      <c r="E102" s="480">
        <v>1857</v>
      </c>
      <c r="F102" s="479">
        <v>90048.5</v>
      </c>
      <c r="G102" s="479">
        <v>90977</v>
      </c>
      <c r="H102" s="480">
        <v>14952.192437840908</v>
      </c>
      <c r="I102" s="481">
        <v>14952.192437840908</v>
      </c>
      <c r="J102" s="478">
        <v>0</v>
      </c>
      <c r="K102" s="478"/>
      <c r="L102" s="540">
        <f t="shared" si="26"/>
        <v>14952.192437840908</v>
      </c>
      <c r="M102" s="541">
        <f t="shared" si="32"/>
        <v>0</v>
      </c>
      <c r="N102" s="540">
        <f t="shared" si="28"/>
        <v>14952.192437840908</v>
      </c>
      <c r="O102" s="478">
        <f t="shared" si="33"/>
        <v>0</v>
      </c>
      <c r="P102" s="478">
        <f t="shared" si="34"/>
        <v>0</v>
      </c>
    </row>
    <row r="103" spans="1:16">
      <c r="B103" s="160" t="str">
        <f t="shared" si="31"/>
        <v/>
      </c>
      <c r="C103" s="472">
        <f>IF(D93="","-",+C102+1)</f>
        <v>2014</v>
      </c>
      <c r="D103" s="473">
        <v>90048.5</v>
      </c>
      <c r="E103" s="480">
        <v>1857</v>
      </c>
      <c r="F103" s="479">
        <v>88191.5</v>
      </c>
      <c r="G103" s="479">
        <v>89120</v>
      </c>
      <c r="H103" s="480">
        <v>14386.907699066522</v>
      </c>
      <c r="I103" s="481">
        <v>14386.907699066522</v>
      </c>
      <c r="J103" s="478">
        <v>0</v>
      </c>
      <c r="K103" s="478"/>
      <c r="L103" s="540">
        <f t="shared" si="26"/>
        <v>14386.907699066522</v>
      </c>
      <c r="M103" s="541">
        <f t="shared" si="32"/>
        <v>0</v>
      </c>
      <c r="N103" s="540">
        <f t="shared" si="28"/>
        <v>14386.907699066522</v>
      </c>
      <c r="O103" s="478">
        <f t="shared" si="33"/>
        <v>0</v>
      </c>
      <c r="P103" s="478">
        <f t="shared" si="34"/>
        <v>0</v>
      </c>
    </row>
    <row r="104" spans="1:16">
      <c r="B104" s="160" t="str">
        <f t="shared" si="31"/>
        <v/>
      </c>
      <c r="C104" s="472">
        <f>IF(D93="","-",+C103+1)</f>
        <v>2015</v>
      </c>
      <c r="D104" s="473">
        <v>88191.5</v>
      </c>
      <c r="E104" s="480">
        <v>1857</v>
      </c>
      <c r="F104" s="479">
        <v>86334.5</v>
      </c>
      <c r="G104" s="479">
        <v>87263</v>
      </c>
      <c r="H104" s="480">
        <v>13763.334720904193</v>
      </c>
      <c r="I104" s="481">
        <v>13763.334720904193</v>
      </c>
      <c r="J104" s="478">
        <f t="shared" si="25"/>
        <v>0</v>
      </c>
      <c r="K104" s="478"/>
      <c r="L104" s="540">
        <f t="shared" si="26"/>
        <v>13763.334720904193</v>
      </c>
      <c r="M104" s="541">
        <f t="shared" si="32"/>
        <v>0</v>
      </c>
      <c r="N104" s="540">
        <f t="shared" si="28"/>
        <v>13763.334720904193</v>
      </c>
      <c r="O104" s="478">
        <f t="shared" si="33"/>
        <v>0</v>
      </c>
      <c r="P104" s="478">
        <f t="shared" si="34"/>
        <v>0</v>
      </c>
    </row>
    <row r="105" spans="1:16">
      <c r="B105" s="160" t="str">
        <f t="shared" si="31"/>
        <v/>
      </c>
      <c r="C105" s="472">
        <f>IF(D93="","-",+C104+1)</f>
        <v>2016</v>
      </c>
      <c r="D105" s="473">
        <v>86334.5</v>
      </c>
      <c r="E105" s="480">
        <v>2099</v>
      </c>
      <c r="F105" s="479">
        <v>84235.5</v>
      </c>
      <c r="G105" s="479">
        <v>85285</v>
      </c>
      <c r="H105" s="480">
        <v>13093.579642748955</v>
      </c>
      <c r="I105" s="481">
        <v>13093.579642748955</v>
      </c>
      <c r="J105" s="478">
        <f t="shared" si="25"/>
        <v>0</v>
      </c>
      <c r="K105" s="478"/>
      <c r="L105" s="540">
        <f>H105</f>
        <v>13093.579642748955</v>
      </c>
      <c r="M105" s="541">
        <f t="shared" si="32"/>
        <v>0</v>
      </c>
      <c r="N105" s="540">
        <f>I105</f>
        <v>13093.579642748955</v>
      </c>
      <c r="O105" s="478">
        <f t="shared" si="33"/>
        <v>0</v>
      </c>
      <c r="P105" s="478">
        <f t="shared" si="34"/>
        <v>0</v>
      </c>
    </row>
    <row r="106" spans="1:16">
      <c r="B106" s="160" t="str">
        <f t="shared" si="31"/>
        <v/>
      </c>
      <c r="C106" s="472">
        <f>IF(D93="","-",+C105+1)</f>
        <v>2017</v>
      </c>
      <c r="D106" s="473">
        <v>84235.5</v>
      </c>
      <c r="E106" s="480">
        <v>2099</v>
      </c>
      <c r="F106" s="479">
        <v>82136.5</v>
      </c>
      <c r="G106" s="479">
        <v>83186</v>
      </c>
      <c r="H106" s="480">
        <v>12651.353853573521</v>
      </c>
      <c r="I106" s="481">
        <v>12651.353853573521</v>
      </c>
      <c r="J106" s="478">
        <f t="shared" si="25"/>
        <v>0</v>
      </c>
      <c r="K106" s="478"/>
      <c r="L106" s="540">
        <f>H106</f>
        <v>12651.353853573521</v>
      </c>
      <c r="M106" s="541">
        <f t="shared" si="32"/>
        <v>0</v>
      </c>
      <c r="N106" s="540">
        <f>I106</f>
        <v>12651.353853573521</v>
      </c>
      <c r="O106" s="478">
        <f t="shared" si="33"/>
        <v>0</v>
      </c>
      <c r="P106" s="478">
        <f t="shared" si="34"/>
        <v>0</v>
      </c>
    </row>
    <row r="107" spans="1:16">
      <c r="B107" s="160" t="str">
        <f t="shared" si="31"/>
        <v/>
      </c>
      <c r="C107" s="472">
        <f>IF(D93="","-",+C106+1)</f>
        <v>2018</v>
      </c>
      <c r="D107" s="473">
        <v>82136.5</v>
      </c>
      <c r="E107" s="480">
        <v>2246</v>
      </c>
      <c r="F107" s="479">
        <v>79890.5</v>
      </c>
      <c r="G107" s="479">
        <v>81013.5</v>
      </c>
      <c r="H107" s="480">
        <v>10568.967843132519</v>
      </c>
      <c r="I107" s="481">
        <v>10568.967843132519</v>
      </c>
      <c r="J107" s="478">
        <f t="shared" si="25"/>
        <v>0</v>
      </c>
      <c r="K107" s="478"/>
      <c r="L107" s="540">
        <f>H107</f>
        <v>10568.967843132519</v>
      </c>
      <c r="M107" s="541">
        <f t="shared" ref="M107" si="35">IF(L107&lt;&gt;0,+H107-L107,0)</f>
        <v>0</v>
      </c>
      <c r="N107" s="540">
        <f>I107</f>
        <v>10568.967843132519</v>
      </c>
      <c r="O107" s="478">
        <f t="shared" ref="O107" si="36">IF(N107&lt;&gt;0,+I107-N107,0)</f>
        <v>0</v>
      </c>
      <c r="P107" s="478">
        <f t="shared" ref="P107" si="37">+O107-M107</f>
        <v>0</v>
      </c>
    </row>
    <row r="108" spans="1:16">
      <c r="B108" s="160" t="str">
        <f t="shared" si="31"/>
        <v/>
      </c>
      <c r="C108" s="472">
        <f>IF(D93="","-",+C107+1)</f>
        <v>2019</v>
      </c>
      <c r="D108" s="473">
        <v>79890.5</v>
      </c>
      <c r="E108" s="480">
        <v>2355</v>
      </c>
      <c r="F108" s="479">
        <v>77535.5</v>
      </c>
      <c r="G108" s="479">
        <v>78713</v>
      </c>
      <c r="H108" s="480">
        <v>10471.414334884656</v>
      </c>
      <c r="I108" s="481">
        <v>10471.414334884656</v>
      </c>
      <c r="J108" s="478">
        <f t="shared" si="25"/>
        <v>0</v>
      </c>
      <c r="K108" s="478"/>
      <c r="L108" s="540">
        <f>H108</f>
        <v>10471.414334884656</v>
      </c>
      <c r="M108" s="541">
        <f t="shared" ref="M108" si="38">IF(L108&lt;&gt;0,+H108-L108,0)</f>
        <v>0</v>
      </c>
      <c r="N108" s="540">
        <f>I108</f>
        <v>10471.414334884656</v>
      </c>
      <c r="O108" s="478">
        <f t="shared" si="29"/>
        <v>0</v>
      </c>
      <c r="P108" s="478">
        <f t="shared" si="30"/>
        <v>0</v>
      </c>
    </row>
    <row r="109" spans="1:16">
      <c r="B109" s="160" t="str">
        <f t="shared" si="31"/>
        <v/>
      </c>
      <c r="C109" s="472">
        <f>IF(D93="","-",+C108+1)</f>
        <v>2020</v>
      </c>
      <c r="D109" s="473">
        <v>77535.5</v>
      </c>
      <c r="E109" s="480">
        <v>2246</v>
      </c>
      <c r="F109" s="479">
        <v>75289.5</v>
      </c>
      <c r="G109" s="479">
        <v>76412.5</v>
      </c>
      <c r="H109" s="480">
        <v>11056.151171153304</v>
      </c>
      <c r="I109" s="481">
        <v>11056.151171153304</v>
      </c>
      <c r="J109" s="478">
        <f t="shared" si="25"/>
        <v>0</v>
      </c>
      <c r="K109" s="478"/>
      <c r="L109" s="540">
        <f>H109</f>
        <v>11056.151171153304</v>
      </c>
      <c r="M109" s="541">
        <f t="shared" ref="M109" si="39">IF(L109&lt;&gt;0,+H109-L109,0)</f>
        <v>0</v>
      </c>
      <c r="N109" s="540">
        <f>I109</f>
        <v>11056.151171153304</v>
      </c>
      <c r="O109" s="478">
        <f t="shared" si="29"/>
        <v>0</v>
      </c>
      <c r="P109" s="478">
        <f t="shared" si="30"/>
        <v>0</v>
      </c>
    </row>
    <row r="110" spans="1:16">
      <c r="B110" s="160" t="str">
        <f t="shared" si="31"/>
        <v/>
      </c>
      <c r="C110" s="472">
        <f>IF(D93="","-",+C109+1)</f>
        <v>2021</v>
      </c>
      <c r="D110" s="347">
        <f>IF(F109+SUM(E$99:E109)=D$92,F109,D$92-SUM(E$99:E109))</f>
        <v>75289.5</v>
      </c>
      <c r="E110" s="486">
        <f>IF(+J96&lt;F109,J96,D110)</f>
        <v>2355</v>
      </c>
      <c r="F110" s="485">
        <f t="shared" ref="F110:F129" si="40">+D110-E110</f>
        <v>72934.5</v>
      </c>
      <c r="G110" s="485">
        <f t="shared" ref="G110:G129" si="41">+(F110+D110)/2</f>
        <v>74112</v>
      </c>
      <c r="H110" s="486">
        <f t="shared" ref="H110:H153" si="42">(D110+F110)/2*J$94+E110</f>
        <v>10788.411477147845</v>
      </c>
      <c r="I110" s="542">
        <f t="shared" ref="I110:I153" si="43">+J$95*G110+E110</f>
        <v>10788.411477147845</v>
      </c>
      <c r="J110" s="478">
        <f t="shared" si="25"/>
        <v>0</v>
      </c>
      <c r="K110" s="478"/>
      <c r="L110" s="487"/>
      <c r="M110" s="478">
        <f t="shared" si="27"/>
        <v>0</v>
      </c>
      <c r="N110" s="487"/>
      <c r="O110" s="478">
        <f t="shared" si="29"/>
        <v>0</v>
      </c>
      <c r="P110" s="478">
        <f t="shared" si="30"/>
        <v>0</v>
      </c>
    </row>
    <row r="111" spans="1:16">
      <c r="B111" s="160" t="str">
        <f t="shared" si="31"/>
        <v/>
      </c>
      <c r="C111" s="472">
        <f>IF(D93="","-",+C110+1)</f>
        <v>2022</v>
      </c>
      <c r="D111" s="347">
        <f>IF(F110+SUM(E$99:E110)=D$92,F110,D$92-SUM(E$99:E110))</f>
        <v>72934.5</v>
      </c>
      <c r="E111" s="486">
        <f>IF(+J96&lt;F110,J96,D111)</f>
        <v>2355</v>
      </c>
      <c r="F111" s="485">
        <f t="shared" si="40"/>
        <v>70579.5</v>
      </c>
      <c r="G111" s="485">
        <f t="shared" si="41"/>
        <v>71757</v>
      </c>
      <c r="H111" s="486">
        <f t="shared" si="42"/>
        <v>10520.429449558749</v>
      </c>
      <c r="I111" s="542">
        <f t="shared" si="43"/>
        <v>10520.429449558749</v>
      </c>
      <c r="J111" s="478">
        <f t="shared" si="25"/>
        <v>0</v>
      </c>
      <c r="K111" s="478"/>
      <c r="L111" s="487"/>
      <c r="M111" s="478">
        <f t="shared" si="27"/>
        <v>0</v>
      </c>
      <c r="N111" s="487"/>
      <c r="O111" s="478">
        <f t="shared" si="29"/>
        <v>0</v>
      </c>
      <c r="P111" s="478">
        <f t="shared" si="30"/>
        <v>0</v>
      </c>
    </row>
    <row r="112" spans="1:16">
      <c r="B112" s="160" t="str">
        <f t="shared" si="31"/>
        <v/>
      </c>
      <c r="C112" s="472">
        <f>IF(D93="","-",+C111+1)</f>
        <v>2023</v>
      </c>
      <c r="D112" s="347">
        <f>IF(F111+SUM(E$99:E111)=D$92,F111,D$92-SUM(E$99:E111))</f>
        <v>70579.5</v>
      </c>
      <c r="E112" s="486">
        <f>IF(+J96&lt;F111,J96,D112)</f>
        <v>2355</v>
      </c>
      <c r="F112" s="485">
        <f t="shared" si="40"/>
        <v>68224.5</v>
      </c>
      <c r="G112" s="485">
        <f t="shared" si="41"/>
        <v>69402</v>
      </c>
      <c r="H112" s="486">
        <f t="shared" si="42"/>
        <v>10252.447421969651</v>
      </c>
      <c r="I112" s="542">
        <f t="shared" si="43"/>
        <v>10252.447421969651</v>
      </c>
      <c r="J112" s="478">
        <f t="shared" si="25"/>
        <v>0</v>
      </c>
      <c r="K112" s="478"/>
      <c r="L112" s="487"/>
      <c r="M112" s="478">
        <f t="shared" si="27"/>
        <v>0</v>
      </c>
      <c r="N112" s="487"/>
      <c r="O112" s="478">
        <f t="shared" si="29"/>
        <v>0</v>
      </c>
      <c r="P112" s="478">
        <f t="shared" si="30"/>
        <v>0</v>
      </c>
    </row>
    <row r="113" spans="2:16">
      <c r="B113" s="160" t="str">
        <f t="shared" si="31"/>
        <v/>
      </c>
      <c r="C113" s="472">
        <f>IF(D93="","-",+C112+1)</f>
        <v>2024</v>
      </c>
      <c r="D113" s="347">
        <f>IF(F112+SUM(E$99:E112)=D$92,F112,D$92-SUM(E$99:E112))</f>
        <v>68224.5</v>
      </c>
      <c r="E113" s="486">
        <f>IF(+J96&lt;F112,J96,D113)</f>
        <v>2355</v>
      </c>
      <c r="F113" s="485">
        <f t="shared" si="40"/>
        <v>65869.5</v>
      </c>
      <c r="G113" s="485">
        <f t="shared" si="41"/>
        <v>67047</v>
      </c>
      <c r="H113" s="486">
        <f t="shared" si="42"/>
        <v>9984.4653943805533</v>
      </c>
      <c r="I113" s="542">
        <f t="shared" si="43"/>
        <v>9984.4653943805533</v>
      </c>
      <c r="J113" s="478">
        <f t="shared" si="25"/>
        <v>0</v>
      </c>
      <c r="K113" s="478"/>
      <c r="L113" s="487"/>
      <c r="M113" s="478">
        <f t="shared" si="27"/>
        <v>0</v>
      </c>
      <c r="N113" s="487"/>
      <c r="O113" s="478">
        <f t="shared" si="29"/>
        <v>0</v>
      </c>
      <c r="P113" s="478">
        <f t="shared" si="30"/>
        <v>0</v>
      </c>
    </row>
    <row r="114" spans="2:16">
      <c r="B114" s="160" t="str">
        <f t="shared" si="31"/>
        <v/>
      </c>
      <c r="C114" s="472">
        <f>IF(D93="","-",+C113+1)</f>
        <v>2025</v>
      </c>
      <c r="D114" s="347">
        <f>IF(F113+SUM(E$99:E113)=D$92,F113,D$92-SUM(E$99:E113))</f>
        <v>65869.5</v>
      </c>
      <c r="E114" s="486">
        <f>IF(+J96&lt;F113,J96,D114)</f>
        <v>2355</v>
      </c>
      <c r="F114" s="485">
        <f t="shared" si="40"/>
        <v>63514.5</v>
      </c>
      <c r="G114" s="485">
        <f t="shared" si="41"/>
        <v>64692</v>
      </c>
      <c r="H114" s="486">
        <f t="shared" si="42"/>
        <v>9716.4833667914572</v>
      </c>
      <c r="I114" s="542">
        <f t="shared" si="43"/>
        <v>9716.4833667914572</v>
      </c>
      <c r="J114" s="478">
        <f t="shared" si="25"/>
        <v>0</v>
      </c>
      <c r="K114" s="478"/>
      <c r="L114" s="487"/>
      <c r="M114" s="478">
        <f t="shared" si="27"/>
        <v>0</v>
      </c>
      <c r="N114" s="487"/>
      <c r="O114" s="478">
        <f t="shared" si="29"/>
        <v>0</v>
      </c>
      <c r="P114" s="478">
        <f t="shared" si="30"/>
        <v>0</v>
      </c>
    </row>
    <row r="115" spans="2:16">
      <c r="B115" s="160" t="str">
        <f t="shared" si="31"/>
        <v/>
      </c>
      <c r="C115" s="472">
        <f>IF(D93="","-",+C114+1)</f>
        <v>2026</v>
      </c>
      <c r="D115" s="347">
        <f>IF(F114+SUM(E$99:E114)=D$92,F114,D$92-SUM(E$99:E114))</f>
        <v>63514.5</v>
      </c>
      <c r="E115" s="486">
        <f>IF(+J96&lt;F114,J96,D115)</f>
        <v>2355</v>
      </c>
      <c r="F115" s="485">
        <f t="shared" si="40"/>
        <v>61159.5</v>
      </c>
      <c r="G115" s="485">
        <f t="shared" si="41"/>
        <v>62337</v>
      </c>
      <c r="H115" s="486">
        <f t="shared" si="42"/>
        <v>9448.5013392023593</v>
      </c>
      <c r="I115" s="542">
        <f t="shared" si="43"/>
        <v>9448.5013392023593</v>
      </c>
      <c r="J115" s="478">
        <f t="shared" si="25"/>
        <v>0</v>
      </c>
      <c r="K115" s="478"/>
      <c r="L115" s="487"/>
      <c r="M115" s="478">
        <f t="shared" si="27"/>
        <v>0</v>
      </c>
      <c r="N115" s="487"/>
      <c r="O115" s="478">
        <f t="shared" si="29"/>
        <v>0</v>
      </c>
      <c r="P115" s="478">
        <f t="shared" si="30"/>
        <v>0</v>
      </c>
    </row>
    <row r="116" spans="2:16">
      <c r="B116" s="160" t="str">
        <f t="shared" si="31"/>
        <v/>
      </c>
      <c r="C116" s="472">
        <f>IF(D93="","-",+C115+1)</f>
        <v>2027</v>
      </c>
      <c r="D116" s="347">
        <f>IF(F115+SUM(E$99:E115)=D$92,F115,D$92-SUM(E$99:E115))</f>
        <v>61159.5</v>
      </c>
      <c r="E116" s="486">
        <f>IF(+J96&lt;F115,J96,D116)</f>
        <v>2355</v>
      </c>
      <c r="F116" s="485">
        <f t="shared" si="40"/>
        <v>58804.5</v>
      </c>
      <c r="G116" s="485">
        <f t="shared" si="41"/>
        <v>59982</v>
      </c>
      <c r="H116" s="486">
        <f t="shared" si="42"/>
        <v>9180.5193116132614</v>
      </c>
      <c r="I116" s="542">
        <f t="shared" si="43"/>
        <v>9180.5193116132614</v>
      </c>
      <c r="J116" s="478">
        <f t="shared" si="25"/>
        <v>0</v>
      </c>
      <c r="K116" s="478"/>
      <c r="L116" s="487"/>
      <c r="M116" s="478">
        <f t="shared" si="27"/>
        <v>0</v>
      </c>
      <c r="N116" s="487"/>
      <c r="O116" s="478">
        <f t="shared" si="29"/>
        <v>0</v>
      </c>
      <c r="P116" s="478">
        <f t="shared" si="30"/>
        <v>0</v>
      </c>
    </row>
    <row r="117" spans="2:16">
      <c r="B117" s="160" t="str">
        <f t="shared" si="31"/>
        <v/>
      </c>
      <c r="C117" s="472">
        <f>IF(D93="","-",+C116+1)</f>
        <v>2028</v>
      </c>
      <c r="D117" s="347">
        <f>IF(F116+SUM(E$99:E116)=D$92,F116,D$92-SUM(E$99:E116))</f>
        <v>58804.5</v>
      </c>
      <c r="E117" s="486">
        <f>IF(+J96&lt;F116,J96,D117)</f>
        <v>2355</v>
      </c>
      <c r="F117" s="485">
        <f t="shared" si="40"/>
        <v>56449.5</v>
      </c>
      <c r="G117" s="485">
        <f t="shared" si="41"/>
        <v>57627</v>
      </c>
      <c r="H117" s="486">
        <f t="shared" si="42"/>
        <v>8912.5372840241653</v>
      </c>
      <c r="I117" s="542">
        <f t="shared" si="43"/>
        <v>8912.5372840241653</v>
      </c>
      <c r="J117" s="478">
        <f t="shared" si="25"/>
        <v>0</v>
      </c>
      <c r="K117" s="478"/>
      <c r="L117" s="487"/>
      <c r="M117" s="478">
        <f t="shared" si="27"/>
        <v>0</v>
      </c>
      <c r="N117" s="487"/>
      <c r="O117" s="478">
        <f t="shared" si="29"/>
        <v>0</v>
      </c>
      <c r="P117" s="478">
        <f t="shared" si="30"/>
        <v>0</v>
      </c>
    </row>
    <row r="118" spans="2:16">
      <c r="B118" s="160" t="str">
        <f t="shared" si="31"/>
        <v/>
      </c>
      <c r="C118" s="472">
        <f>IF(D93="","-",+C117+1)</f>
        <v>2029</v>
      </c>
      <c r="D118" s="347">
        <f>IF(F117+SUM(E$99:E117)=D$92,F117,D$92-SUM(E$99:E117))</f>
        <v>56449.5</v>
      </c>
      <c r="E118" s="486">
        <f>IF(+J96&lt;F117,J96,D118)</f>
        <v>2355</v>
      </c>
      <c r="F118" s="485">
        <f t="shared" si="40"/>
        <v>54094.5</v>
      </c>
      <c r="G118" s="485">
        <f t="shared" si="41"/>
        <v>55272</v>
      </c>
      <c r="H118" s="486">
        <f t="shared" si="42"/>
        <v>8644.5552564350673</v>
      </c>
      <c r="I118" s="542">
        <f t="shared" si="43"/>
        <v>8644.5552564350673</v>
      </c>
      <c r="J118" s="478">
        <f t="shared" si="25"/>
        <v>0</v>
      </c>
      <c r="K118" s="478"/>
      <c r="L118" s="487"/>
      <c r="M118" s="478">
        <f t="shared" si="27"/>
        <v>0</v>
      </c>
      <c r="N118" s="487"/>
      <c r="O118" s="478">
        <f t="shared" si="29"/>
        <v>0</v>
      </c>
      <c r="P118" s="478">
        <f t="shared" si="30"/>
        <v>0</v>
      </c>
    </row>
    <row r="119" spans="2:16">
      <c r="B119" s="160" t="str">
        <f t="shared" si="31"/>
        <v/>
      </c>
      <c r="C119" s="472">
        <f>IF(D93="","-",+C118+1)</f>
        <v>2030</v>
      </c>
      <c r="D119" s="347">
        <f>IF(F118+SUM(E$99:E118)=D$92,F118,D$92-SUM(E$99:E118))</f>
        <v>54094.5</v>
      </c>
      <c r="E119" s="486">
        <f>IF(+J96&lt;F118,J96,D119)</f>
        <v>2355</v>
      </c>
      <c r="F119" s="485">
        <f t="shared" si="40"/>
        <v>51739.5</v>
      </c>
      <c r="G119" s="485">
        <f t="shared" si="41"/>
        <v>52917</v>
      </c>
      <c r="H119" s="486">
        <f t="shared" si="42"/>
        <v>8376.5732288459694</v>
      </c>
      <c r="I119" s="542">
        <f t="shared" si="43"/>
        <v>8376.5732288459694</v>
      </c>
      <c r="J119" s="478">
        <f t="shared" si="25"/>
        <v>0</v>
      </c>
      <c r="K119" s="478"/>
      <c r="L119" s="487"/>
      <c r="M119" s="478">
        <f t="shared" si="27"/>
        <v>0</v>
      </c>
      <c r="N119" s="487"/>
      <c r="O119" s="478">
        <f t="shared" si="29"/>
        <v>0</v>
      </c>
      <c r="P119" s="478">
        <f t="shared" si="30"/>
        <v>0</v>
      </c>
    </row>
    <row r="120" spans="2:16">
      <c r="B120" s="160" t="str">
        <f t="shared" si="31"/>
        <v/>
      </c>
      <c r="C120" s="472">
        <f>IF(D93="","-",+C119+1)</f>
        <v>2031</v>
      </c>
      <c r="D120" s="347">
        <f>IF(F119+SUM(E$99:E119)=D$92,F119,D$92-SUM(E$99:E119))</f>
        <v>51739.5</v>
      </c>
      <c r="E120" s="486">
        <f>IF(+J96&lt;F119,J96,D120)</f>
        <v>2355</v>
      </c>
      <c r="F120" s="485">
        <f t="shared" si="40"/>
        <v>49384.5</v>
      </c>
      <c r="G120" s="485">
        <f t="shared" si="41"/>
        <v>50562</v>
      </c>
      <c r="H120" s="486">
        <f t="shared" si="42"/>
        <v>8108.5912012568733</v>
      </c>
      <c r="I120" s="542">
        <f t="shared" si="43"/>
        <v>8108.5912012568733</v>
      </c>
      <c r="J120" s="478">
        <f t="shared" si="25"/>
        <v>0</v>
      </c>
      <c r="K120" s="478"/>
      <c r="L120" s="487"/>
      <c r="M120" s="478">
        <f t="shared" si="27"/>
        <v>0</v>
      </c>
      <c r="N120" s="487"/>
      <c r="O120" s="478">
        <f t="shared" si="29"/>
        <v>0</v>
      </c>
      <c r="P120" s="478">
        <f t="shared" si="30"/>
        <v>0</v>
      </c>
    </row>
    <row r="121" spans="2:16">
      <c r="B121" s="160" t="str">
        <f t="shared" si="31"/>
        <v/>
      </c>
      <c r="C121" s="472">
        <f>IF(D93="","-",+C120+1)</f>
        <v>2032</v>
      </c>
      <c r="D121" s="347">
        <f>IF(F120+SUM(E$99:E120)=D$92,F120,D$92-SUM(E$99:E120))</f>
        <v>49384.5</v>
      </c>
      <c r="E121" s="486">
        <f>IF(+J96&lt;F120,J96,D121)</f>
        <v>2355</v>
      </c>
      <c r="F121" s="485">
        <f t="shared" si="40"/>
        <v>47029.5</v>
      </c>
      <c r="G121" s="485">
        <f t="shared" si="41"/>
        <v>48207</v>
      </c>
      <c r="H121" s="486">
        <f t="shared" si="42"/>
        <v>7840.6091736677754</v>
      </c>
      <c r="I121" s="542">
        <f t="shared" si="43"/>
        <v>7840.6091736677754</v>
      </c>
      <c r="J121" s="478">
        <f t="shared" si="25"/>
        <v>0</v>
      </c>
      <c r="K121" s="478"/>
      <c r="L121" s="487"/>
      <c r="M121" s="478">
        <f t="shared" si="27"/>
        <v>0</v>
      </c>
      <c r="N121" s="487"/>
      <c r="O121" s="478">
        <f t="shared" si="29"/>
        <v>0</v>
      </c>
      <c r="P121" s="478">
        <f t="shared" si="30"/>
        <v>0</v>
      </c>
    </row>
    <row r="122" spans="2:16">
      <c r="B122" s="160" t="str">
        <f t="shared" si="31"/>
        <v/>
      </c>
      <c r="C122" s="472">
        <f>IF(D93="","-",+C121+1)</f>
        <v>2033</v>
      </c>
      <c r="D122" s="347">
        <f>IF(F121+SUM(E$99:E121)=D$92,F121,D$92-SUM(E$99:E121))</f>
        <v>47029.5</v>
      </c>
      <c r="E122" s="486">
        <f>IF(+J96&lt;F121,J96,D122)</f>
        <v>2355</v>
      </c>
      <c r="F122" s="485">
        <f t="shared" si="40"/>
        <v>44674.5</v>
      </c>
      <c r="G122" s="485">
        <f t="shared" si="41"/>
        <v>45852</v>
      </c>
      <c r="H122" s="486">
        <f t="shared" si="42"/>
        <v>7572.6271460786784</v>
      </c>
      <c r="I122" s="542">
        <f t="shared" si="43"/>
        <v>7572.6271460786784</v>
      </c>
      <c r="J122" s="478">
        <f t="shared" si="25"/>
        <v>0</v>
      </c>
      <c r="K122" s="478"/>
      <c r="L122" s="487"/>
      <c r="M122" s="478">
        <f t="shared" si="27"/>
        <v>0</v>
      </c>
      <c r="N122" s="487"/>
      <c r="O122" s="478">
        <f t="shared" si="29"/>
        <v>0</v>
      </c>
      <c r="P122" s="478">
        <f t="shared" si="30"/>
        <v>0</v>
      </c>
    </row>
    <row r="123" spans="2:16">
      <c r="B123" s="160" t="str">
        <f t="shared" si="31"/>
        <v/>
      </c>
      <c r="C123" s="472">
        <f>IF(D93="","-",+C122+1)</f>
        <v>2034</v>
      </c>
      <c r="D123" s="347">
        <f>IF(F122+SUM(E$99:E122)=D$92,F122,D$92-SUM(E$99:E122))</f>
        <v>44674.5</v>
      </c>
      <c r="E123" s="486">
        <f>IF(+J96&lt;F122,J96,D123)</f>
        <v>2355</v>
      </c>
      <c r="F123" s="485">
        <f t="shared" si="40"/>
        <v>42319.5</v>
      </c>
      <c r="G123" s="485">
        <f t="shared" si="41"/>
        <v>43497</v>
      </c>
      <c r="H123" s="486">
        <f t="shared" si="42"/>
        <v>7304.6451184895814</v>
      </c>
      <c r="I123" s="542">
        <f t="shared" si="43"/>
        <v>7304.6451184895814</v>
      </c>
      <c r="J123" s="478">
        <f t="shared" si="25"/>
        <v>0</v>
      </c>
      <c r="K123" s="478"/>
      <c r="L123" s="487"/>
      <c r="M123" s="478">
        <f t="shared" si="27"/>
        <v>0</v>
      </c>
      <c r="N123" s="487"/>
      <c r="O123" s="478">
        <f t="shared" si="29"/>
        <v>0</v>
      </c>
      <c r="P123" s="478">
        <f t="shared" si="30"/>
        <v>0</v>
      </c>
    </row>
    <row r="124" spans="2:16">
      <c r="B124" s="160" t="str">
        <f t="shared" si="31"/>
        <v/>
      </c>
      <c r="C124" s="472">
        <f>IF(D93="","-",+C123+1)</f>
        <v>2035</v>
      </c>
      <c r="D124" s="347">
        <f>IF(F123+SUM(E$99:E123)=D$92,F123,D$92-SUM(E$99:E123))</f>
        <v>42319.5</v>
      </c>
      <c r="E124" s="486">
        <f>IF(+J96&lt;F123,J96,D124)</f>
        <v>2355</v>
      </c>
      <c r="F124" s="485">
        <f t="shared" si="40"/>
        <v>39964.5</v>
      </c>
      <c r="G124" s="485">
        <f t="shared" si="41"/>
        <v>41142</v>
      </c>
      <c r="H124" s="486">
        <f t="shared" si="42"/>
        <v>7036.6630909004843</v>
      </c>
      <c r="I124" s="542">
        <f t="shared" si="43"/>
        <v>7036.6630909004843</v>
      </c>
      <c r="J124" s="478">
        <f t="shared" si="25"/>
        <v>0</v>
      </c>
      <c r="K124" s="478"/>
      <c r="L124" s="487"/>
      <c r="M124" s="478">
        <f t="shared" si="27"/>
        <v>0</v>
      </c>
      <c r="N124" s="487"/>
      <c r="O124" s="478">
        <f t="shared" si="29"/>
        <v>0</v>
      </c>
      <c r="P124" s="478">
        <f t="shared" si="30"/>
        <v>0</v>
      </c>
    </row>
    <row r="125" spans="2:16">
      <c r="B125" s="160" t="str">
        <f t="shared" si="31"/>
        <v/>
      </c>
      <c r="C125" s="472">
        <f>IF(D93="","-",+C124+1)</f>
        <v>2036</v>
      </c>
      <c r="D125" s="347">
        <f>IF(F124+SUM(E$99:E124)=D$92,F124,D$92-SUM(E$99:E124))</f>
        <v>39964.5</v>
      </c>
      <c r="E125" s="486">
        <f>IF(+J96&lt;F124,J96,D125)</f>
        <v>2355</v>
      </c>
      <c r="F125" s="485">
        <f t="shared" si="40"/>
        <v>37609.5</v>
      </c>
      <c r="G125" s="485">
        <f t="shared" si="41"/>
        <v>38787</v>
      </c>
      <c r="H125" s="486">
        <f t="shared" si="42"/>
        <v>6768.6810633113864</v>
      </c>
      <c r="I125" s="542">
        <f t="shared" si="43"/>
        <v>6768.6810633113864</v>
      </c>
      <c r="J125" s="478">
        <f t="shared" si="25"/>
        <v>0</v>
      </c>
      <c r="K125" s="478"/>
      <c r="L125" s="487"/>
      <c r="M125" s="478">
        <f t="shared" si="27"/>
        <v>0</v>
      </c>
      <c r="N125" s="487"/>
      <c r="O125" s="478">
        <f t="shared" si="29"/>
        <v>0</v>
      </c>
      <c r="P125" s="478">
        <f t="shared" si="30"/>
        <v>0</v>
      </c>
    </row>
    <row r="126" spans="2:16">
      <c r="B126" s="160" t="str">
        <f t="shared" si="31"/>
        <v/>
      </c>
      <c r="C126" s="472">
        <f>IF(D93="","-",+C125+1)</f>
        <v>2037</v>
      </c>
      <c r="D126" s="347">
        <f>IF(F125+SUM(E$99:E125)=D$92,F125,D$92-SUM(E$99:E125))</f>
        <v>37609.5</v>
      </c>
      <c r="E126" s="486">
        <f>IF(+J96&lt;F125,J96,D126)</f>
        <v>2355</v>
      </c>
      <c r="F126" s="485">
        <f t="shared" si="40"/>
        <v>35254.5</v>
      </c>
      <c r="G126" s="485">
        <f t="shared" si="41"/>
        <v>36432</v>
      </c>
      <c r="H126" s="486">
        <f t="shared" si="42"/>
        <v>6500.6990357222894</v>
      </c>
      <c r="I126" s="542">
        <f t="shared" si="43"/>
        <v>6500.6990357222894</v>
      </c>
      <c r="J126" s="478">
        <f t="shared" si="25"/>
        <v>0</v>
      </c>
      <c r="K126" s="478"/>
      <c r="L126" s="487"/>
      <c r="M126" s="478">
        <f t="shared" si="27"/>
        <v>0</v>
      </c>
      <c r="N126" s="487"/>
      <c r="O126" s="478">
        <f t="shared" si="29"/>
        <v>0</v>
      </c>
      <c r="P126" s="478">
        <f t="shared" si="30"/>
        <v>0</v>
      </c>
    </row>
    <row r="127" spans="2:16">
      <c r="B127" s="160" t="str">
        <f t="shared" si="31"/>
        <v/>
      </c>
      <c r="C127" s="472">
        <f>IF(D93="","-",+C126+1)</f>
        <v>2038</v>
      </c>
      <c r="D127" s="347">
        <f>IF(F126+SUM(E$99:E126)=D$92,F126,D$92-SUM(E$99:E126))</f>
        <v>35254.5</v>
      </c>
      <c r="E127" s="486">
        <f>IF(+J96&lt;F126,J96,D127)</f>
        <v>2355</v>
      </c>
      <c r="F127" s="485">
        <f t="shared" si="40"/>
        <v>32899.5</v>
      </c>
      <c r="G127" s="485">
        <f t="shared" si="41"/>
        <v>34077</v>
      </c>
      <c r="H127" s="486">
        <f t="shared" si="42"/>
        <v>6232.7170081331915</v>
      </c>
      <c r="I127" s="542">
        <f t="shared" si="43"/>
        <v>6232.7170081331915</v>
      </c>
      <c r="J127" s="478">
        <f t="shared" si="25"/>
        <v>0</v>
      </c>
      <c r="K127" s="478"/>
      <c r="L127" s="487"/>
      <c r="M127" s="478">
        <f t="shared" si="27"/>
        <v>0</v>
      </c>
      <c r="N127" s="487"/>
      <c r="O127" s="478">
        <f t="shared" si="29"/>
        <v>0</v>
      </c>
      <c r="P127" s="478">
        <f t="shared" si="30"/>
        <v>0</v>
      </c>
    </row>
    <row r="128" spans="2:16">
      <c r="B128" s="160" t="str">
        <f t="shared" si="31"/>
        <v/>
      </c>
      <c r="C128" s="472">
        <f>IF(D93="","-",+C127+1)</f>
        <v>2039</v>
      </c>
      <c r="D128" s="347">
        <f>IF(F127+SUM(E$99:E127)=D$92,F127,D$92-SUM(E$99:E127))</f>
        <v>32899.5</v>
      </c>
      <c r="E128" s="486">
        <f>IF(+J96&lt;F127,J96,D128)</f>
        <v>2355</v>
      </c>
      <c r="F128" s="485">
        <f t="shared" si="40"/>
        <v>30544.5</v>
      </c>
      <c r="G128" s="485">
        <f t="shared" si="41"/>
        <v>31722</v>
      </c>
      <c r="H128" s="486">
        <f t="shared" si="42"/>
        <v>5964.7349805440954</v>
      </c>
      <c r="I128" s="542">
        <f t="shared" si="43"/>
        <v>5964.7349805440954</v>
      </c>
      <c r="J128" s="478">
        <f t="shared" si="25"/>
        <v>0</v>
      </c>
      <c r="K128" s="478"/>
      <c r="L128" s="487"/>
      <c r="M128" s="478">
        <f t="shared" si="27"/>
        <v>0</v>
      </c>
      <c r="N128" s="487"/>
      <c r="O128" s="478">
        <f t="shared" si="29"/>
        <v>0</v>
      </c>
      <c r="P128" s="478">
        <f t="shared" si="30"/>
        <v>0</v>
      </c>
    </row>
    <row r="129" spans="2:16">
      <c r="B129" s="160" t="str">
        <f t="shared" si="31"/>
        <v/>
      </c>
      <c r="C129" s="472">
        <f>IF(D93="","-",+C128+1)</f>
        <v>2040</v>
      </c>
      <c r="D129" s="347">
        <f>IF(F128+SUM(E$99:E128)=D$92,F128,D$92-SUM(E$99:E128))</f>
        <v>30544.5</v>
      </c>
      <c r="E129" s="486">
        <f>IF(+J96&lt;F128,J96,D129)</f>
        <v>2355</v>
      </c>
      <c r="F129" s="485">
        <f t="shared" si="40"/>
        <v>28189.5</v>
      </c>
      <c r="G129" s="485">
        <f t="shared" si="41"/>
        <v>29367</v>
      </c>
      <c r="H129" s="486">
        <f t="shared" si="42"/>
        <v>5696.7529529549975</v>
      </c>
      <c r="I129" s="542">
        <f t="shared" si="43"/>
        <v>5696.7529529549975</v>
      </c>
      <c r="J129" s="478">
        <f t="shared" si="25"/>
        <v>0</v>
      </c>
      <c r="K129" s="478"/>
      <c r="L129" s="487"/>
      <c r="M129" s="478">
        <f t="shared" si="27"/>
        <v>0</v>
      </c>
      <c r="N129" s="487"/>
      <c r="O129" s="478">
        <f t="shared" si="29"/>
        <v>0</v>
      </c>
      <c r="P129" s="478">
        <f t="shared" si="30"/>
        <v>0</v>
      </c>
    </row>
    <row r="130" spans="2:16">
      <c r="B130" s="160" t="str">
        <f t="shared" si="31"/>
        <v/>
      </c>
      <c r="C130" s="472">
        <f>IF(D93="","-",+C129+1)</f>
        <v>2041</v>
      </c>
      <c r="D130" s="347">
        <f>IF(F129+SUM(E$99:E129)=D$92,F129,D$92-SUM(E$99:E129))</f>
        <v>28189.5</v>
      </c>
      <c r="E130" s="486">
        <f>IF(+J96&lt;F129,J96,D130)</f>
        <v>2355</v>
      </c>
      <c r="F130" s="485">
        <f t="shared" ref="F130:F145" si="44">+D130-E130</f>
        <v>25834.5</v>
      </c>
      <c r="G130" s="485">
        <f t="shared" ref="G130:G145" si="45">+(F130+D130)/2</f>
        <v>27012</v>
      </c>
      <c r="H130" s="486">
        <f t="shared" si="42"/>
        <v>5428.7709253659004</v>
      </c>
      <c r="I130" s="542">
        <f t="shared" si="43"/>
        <v>5428.7709253659004</v>
      </c>
      <c r="J130" s="478">
        <f t="shared" si="25"/>
        <v>0</v>
      </c>
      <c r="K130" s="478"/>
      <c r="L130" s="487"/>
      <c r="M130" s="478">
        <f t="shared" si="27"/>
        <v>0</v>
      </c>
      <c r="N130" s="487"/>
      <c r="O130" s="478">
        <f t="shared" si="29"/>
        <v>0</v>
      </c>
      <c r="P130" s="478">
        <f t="shared" si="30"/>
        <v>0</v>
      </c>
    </row>
    <row r="131" spans="2:16">
      <c r="B131" s="160" t="str">
        <f t="shared" si="31"/>
        <v/>
      </c>
      <c r="C131" s="472">
        <f>IF(D93="","-",+C130+1)</f>
        <v>2042</v>
      </c>
      <c r="D131" s="347">
        <f>IF(F130+SUM(E$99:E130)=D$92,F130,D$92-SUM(E$99:E130))</f>
        <v>25834.5</v>
      </c>
      <c r="E131" s="486">
        <f>IF(+J96&lt;F130,J96,D131)</f>
        <v>2355</v>
      </c>
      <c r="F131" s="485">
        <f t="shared" si="44"/>
        <v>23479.5</v>
      </c>
      <c r="G131" s="485">
        <f t="shared" si="45"/>
        <v>24657</v>
      </c>
      <c r="H131" s="486">
        <f t="shared" si="42"/>
        <v>5160.7888977768034</v>
      </c>
      <c r="I131" s="542">
        <f t="shared" si="43"/>
        <v>5160.7888977768034</v>
      </c>
      <c r="J131" s="478">
        <f t="shared" ref="J131:J154" si="46">+I541-H541</f>
        <v>0</v>
      </c>
      <c r="K131" s="478"/>
      <c r="L131" s="487"/>
      <c r="M131" s="478">
        <f t="shared" ref="M131:M154" si="47">IF(L541&lt;&gt;0,+H541-L541,0)</f>
        <v>0</v>
      </c>
      <c r="N131" s="487"/>
      <c r="O131" s="478">
        <f t="shared" ref="O131:O154" si="48">IF(N541&lt;&gt;0,+I541-N541,0)</f>
        <v>0</v>
      </c>
      <c r="P131" s="478">
        <f t="shared" ref="P131:P154" si="49">+O541-M541</f>
        <v>0</v>
      </c>
    </row>
    <row r="132" spans="2:16">
      <c r="B132" s="160" t="str">
        <f t="shared" si="31"/>
        <v/>
      </c>
      <c r="C132" s="472">
        <f>IF(D93="","-",+C131+1)</f>
        <v>2043</v>
      </c>
      <c r="D132" s="347">
        <f>IF(F131+SUM(E$99:E131)=D$92,F131,D$92-SUM(E$99:E131))</f>
        <v>23479.5</v>
      </c>
      <c r="E132" s="486">
        <f>IF(+J96&lt;F131,J96,D132)</f>
        <v>2355</v>
      </c>
      <c r="F132" s="485">
        <f t="shared" si="44"/>
        <v>21124.5</v>
      </c>
      <c r="G132" s="485">
        <f t="shared" si="45"/>
        <v>22302</v>
      </c>
      <c r="H132" s="486">
        <f t="shared" si="42"/>
        <v>4892.8068701877055</v>
      </c>
      <c r="I132" s="542">
        <f t="shared" si="43"/>
        <v>4892.8068701877055</v>
      </c>
      <c r="J132" s="478">
        <f t="shared" si="46"/>
        <v>0</v>
      </c>
      <c r="K132" s="478"/>
      <c r="L132" s="487"/>
      <c r="M132" s="478">
        <f t="shared" si="47"/>
        <v>0</v>
      </c>
      <c r="N132" s="487"/>
      <c r="O132" s="478">
        <f t="shared" si="48"/>
        <v>0</v>
      </c>
      <c r="P132" s="478">
        <f t="shared" si="49"/>
        <v>0</v>
      </c>
    </row>
    <row r="133" spans="2:16">
      <c r="B133" s="160" t="str">
        <f t="shared" si="31"/>
        <v/>
      </c>
      <c r="C133" s="472">
        <f>IF(D93="","-",+C132+1)</f>
        <v>2044</v>
      </c>
      <c r="D133" s="347">
        <f>IF(F132+SUM(E$99:E132)=D$92,F132,D$92-SUM(E$99:E132))</f>
        <v>21124.5</v>
      </c>
      <c r="E133" s="486">
        <f>IF(+J96&lt;F132,J96,D133)</f>
        <v>2355</v>
      </c>
      <c r="F133" s="485">
        <f t="shared" si="44"/>
        <v>18769.5</v>
      </c>
      <c r="G133" s="485">
        <f t="shared" si="45"/>
        <v>19947</v>
      </c>
      <c r="H133" s="486">
        <f t="shared" si="42"/>
        <v>4624.8248425986085</v>
      </c>
      <c r="I133" s="542">
        <f t="shared" si="43"/>
        <v>4624.8248425986085</v>
      </c>
      <c r="J133" s="478">
        <f t="shared" si="46"/>
        <v>0</v>
      </c>
      <c r="K133" s="478"/>
      <c r="L133" s="487"/>
      <c r="M133" s="478">
        <f t="shared" si="47"/>
        <v>0</v>
      </c>
      <c r="N133" s="487"/>
      <c r="O133" s="478">
        <f t="shared" si="48"/>
        <v>0</v>
      </c>
      <c r="P133" s="478">
        <f t="shared" si="49"/>
        <v>0</v>
      </c>
    </row>
    <row r="134" spans="2:16">
      <c r="B134" s="160" t="str">
        <f t="shared" si="31"/>
        <v/>
      </c>
      <c r="C134" s="472">
        <f>IF(D93="","-",+C133+1)</f>
        <v>2045</v>
      </c>
      <c r="D134" s="347">
        <f>IF(F133+SUM(E$99:E133)=D$92,F133,D$92-SUM(E$99:E133))</f>
        <v>18769.5</v>
      </c>
      <c r="E134" s="486">
        <f>IF(+J96&lt;F133,J96,D134)</f>
        <v>2355</v>
      </c>
      <c r="F134" s="485">
        <f t="shared" si="44"/>
        <v>16414.5</v>
      </c>
      <c r="G134" s="485">
        <f t="shared" si="45"/>
        <v>17592</v>
      </c>
      <c r="H134" s="486">
        <f t="shared" si="42"/>
        <v>4356.8428150095115</v>
      </c>
      <c r="I134" s="542">
        <f t="shared" si="43"/>
        <v>4356.8428150095115</v>
      </c>
      <c r="J134" s="478">
        <f t="shared" si="46"/>
        <v>0</v>
      </c>
      <c r="K134" s="478"/>
      <c r="L134" s="487"/>
      <c r="M134" s="478">
        <f t="shared" si="47"/>
        <v>0</v>
      </c>
      <c r="N134" s="487"/>
      <c r="O134" s="478">
        <f t="shared" si="48"/>
        <v>0</v>
      </c>
      <c r="P134" s="478">
        <f t="shared" si="49"/>
        <v>0</v>
      </c>
    </row>
    <row r="135" spans="2:16">
      <c r="B135" s="160" t="str">
        <f t="shared" si="31"/>
        <v/>
      </c>
      <c r="C135" s="472">
        <f>IF(D93="","-",+C134+1)</f>
        <v>2046</v>
      </c>
      <c r="D135" s="347">
        <f>IF(F134+SUM(E$99:E134)=D$92,F134,D$92-SUM(E$99:E134))</f>
        <v>16414.5</v>
      </c>
      <c r="E135" s="486">
        <f>IF(+J96&lt;F134,J96,D135)</f>
        <v>2355</v>
      </c>
      <c r="F135" s="485">
        <f t="shared" si="44"/>
        <v>14059.5</v>
      </c>
      <c r="G135" s="485">
        <f t="shared" si="45"/>
        <v>15237</v>
      </c>
      <c r="H135" s="486">
        <f t="shared" si="42"/>
        <v>4088.860787420414</v>
      </c>
      <c r="I135" s="542">
        <f t="shared" si="43"/>
        <v>4088.860787420414</v>
      </c>
      <c r="J135" s="478">
        <f t="shared" si="46"/>
        <v>0</v>
      </c>
      <c r="K135" s="478"/>
      <c r="L135" s="487"/>
      <c r="M135" s="478">
        <f t="shared" si="47"/>
        <v>0</v>
      </c>
      <c r="N135" s="487"/>
      <c r="O135" s="478">
        <f t="shared" si="48"/>
        <v>0</v>
      </c>
      <c r="P135" s="478">
        <f t="shared" si="49"/>
        <v>0</v>
      </c>
    </row>
    <row r="136" spans="2:16">
      <c r="B136" s="160" t="str">
        <f t="shared" si="31"/>
        <v/>
      </c>
      <c r="C136" s="472">
        <f>IF(D93="","-",+C135+1)</f>
        <v>2047</v>
      </c>
      <c r="D136" s="347">
        <f>IF(F135+SUM(E$99:E135)=D$92,F135,D$92-SUM(E$99:E135))</f>
        <v>14059.5</v>
      </c>
      <c r="E136" s="486">
        <f>IF(+J96&lt;F135,J96,D136)</f>
        <v>2355</v>
      </c>
      <c r="F136" s="485">
        <f t="shared" si="44"/>
        <v>11704.5</v>
      </c>
      <c r="G136" s="485">
        <f t="shared" si="45"/>
        <v>12882</v>
      </c>
      <c r="H136" s="486">
        <f t="shared" si="42"/>
        <v>3820.8787598313165</v>
      </c>
      <c r="I136" s="542">
        <f t="shared" si="43"/>
        <v>3820.8787598313165</v>
      </c>
      <c r="J136" s="478">
        <f t="shared" si="46"/>
        <v>0</v>
      </c>
      <c r="K136" s="478"/>
      <c r="L136" s="487"/>
      <c r="M136" s="478">
        <f t="shared" si="47"/>
        <v>0</v>
      </c>
      <c r="N136" s="487"/>
      <c r="O136" s="478">
        <f t="shared" si="48"/>
        <v>0</v>
      </c>
      <c r="P136" s="478">
        <f t="shared" si="49"/>
        <v>0</v>
      </c>
    </row>
    <row r="137" spans="2:16">
      <c r="B137" s="160" t="str">
        <f t="shared" si="31"/>
        <v/>
      </c>
      <c r="C137" s="472">
        <f>IF(D93="","-",+C136+1)</f>
        <v>2048</v>
      </c>
      <c r="D137" s="347">
        <f>IF(F136+SUM(E$99:E136)=D$92,F136,D$92-SUM(E$99:E136))</f>
        <v>11704.5</v>
      </c>
      <c r="E137" s="486">
        <f>IF(+J96&lt;F136,J96,D137)</f>
        <v>2355</v>
      </c>
      <c r="F137" s="485">
        <f t="shared" si="44"/>
        <v>9349.5</v>
      </c>
      <c r="G137" s="485">
        <f t="shared" si="45"/>
        <v>10527</v>
      </c>
      <c r="H137" s="486">
        <f t="shared" si="42"/>
        <v>3552.8967322422195</v>
      </c>
      <c r="I137" s="542">
        <f t="shared" si="43"/>
        <v>3552.8967322422195</v>
      </c>
      <c r="J137" s="478">
        <f t="shared" si="46"/>
        <v>0</v>
      </c>
      <c r="K137" s="478"/>
      <c r="L137" s="487"/>
      <c r="M137" s="478">
        <f t="shared" si="47"/>
        <v>0</v>
      </c>
      <c r="N137" s="487"/>
      <c r="O137" s="478">
        <f t="shared" si="48"/>
        <v>0</v>
      </c>
      <c r="P137" s="478">
        <f t="shared" si="49"/>
        <v>0</v>
      </c>
    </row>
    <row r="138" spans="2:16">
      <c r="B138" s="160" t="str">
        <f t="shared" si="31"/>
        <v/>
      </c>
      <c r="C138" s="472">
        <f>IF(D93="","-",+C137+1)</f>
        <v>2049</v>
      </c>
      <c r="D138" s="347">
        <f>IF(F137+SUM(E$99:E137)=D$92,F137,D$92-SUM(E$99:E137))</f>
        <v>9349.5</v>
      </c>
      <c r="E138" s="486">
        <f>IF(+J96&lt;F137,J96,D138)</f>
        <v>2355</v>
      </c>
      <c r="F138" s="485">
        <f t="shared" si="44"/>
        <v>6994.5</v>
      </c>
      <c r="G138" s="485">
        <f t="shared" si="45"/>
        <v>8172</v>
      </c>
      <c r="H138" s="486">
        <f t="shared" si="42"/>
        <v>3284.9147046531225</v>
      </c>
      <c r="I138" s="542">
        <f t="shared" si="43"/>
        <v>3284.9147046531225</v>
      </c>
      <c r="J138" s="478">
        <f t="shared" si="46"/>
        <v>0</v>
      </c>
      <c r="K138" s="478"/>
      <c r="L138" s="487"/>
      <c r="M138" s="478">
        <f t="shared" si="47"/>
        <v>0</v>
      </c>
      <c r="N138" s="487"/>
      <c r="O138" s="478">
        <f t="shared" si="48"/>
        <v>0</v>
      </c>
      <c r="P138" s="478">
        <f t="shared" si="49"/>
        <v>0</v>
      </c>
    </row>
    <row r="139" spans="2:16">
      <c r="B139" s="160" t="str">
        <f t="shared" si="31"/>
        <v/>
      </c>
      <c r="C139" s="472">
        <f>IF(D93="","-",+C138+1)</f>
        <v>2050</v>
      </c>
      <c r="D139" s="347">
        <f>IF(F138+SUM(E$99:E138)=D$92,F138,D$92-SUM(E$99:E138))</f>
        <v>6994.5</v>
      </c>
      <c r="E139" s="486">
        <f>IF(+J96&lt;F138,J96,D139)</f>
        <v>2355</v>
      </c>
      <c r="F139" s="485">
        <f t="shared" si="44"/>
        <v>4639.5</v>
      </c>
      <c r="G139" s="485">
        <f t="shared" si="45"/>
        <v>5817</v>
      </c>
      <c r="H139" s="486">
        <f t="shared" si="42"/>
        <v>3016.932677064025</v>
      </c>
      <c r="I139" s="542">
        <f t="shared" si="43"/>
        <v>3016.932677064025</v>
      </c>
      <c r="J139" s="478">
        <f t="shared" si="46"/>
        <v>0</v>
      </c>
      <c r="K139" s="478"/>
      <c r="L139" s="487"/>
      <c r="M139" s="478">
        <f t="shared" si="47"/>
        <v>0</v>
      </c>
      <c r="N139" s="487"/>
      <c r="O139" s="478">
        <f t="shared" si="48"/>
        <v>0</v>
      </c>
      <c r="P139" s="478">
        <f t="shared" si="49"/>
        <v>0</v>
      </c>
    </row>
    <row r="140" spans="2:16">
      <c r="B140" s="160" t="str">
        <f t="shared" si="31"/>
        <v/>
      </c>
      <c r="C140" s="472">
        <f>IF(D93="","-",+C139+1)</f>
        <v>2051</v>
      </c>
      <c r="D140" s="347">
        <f>IF(F139+SUM(E$99:E139)=D$92,F139,D$92-SUM(E$99:E139))</f>
        <v>4639.5</v>
      </c>
      <c r="E140" s="486">
        <f>IF(+J96&lt;F139,J96,D140)</f>
        <v>2355</v>
      </c>
      <c r="F140" s="485">
        <f t="shared" si="44"/>
        <v>2284.5</v>
      </c>
      <c r="G140" s="485">
        <f t="shared" si="45"/>
        <v>3462</v>
      </c>
      <c r="H140" s="486">
        <f t="shared" si="42"/>
        <v>2748.9506494749276</v>
      </c>
      <c r="I140" s="542">
        <f t="shared" si="43"/>
        <v>2748.9506494749276</v>
      </c>
      <c r="J140" s="478">
        <f t="shared" si="46"/>
        <v>0</v>
      </c>
      <c r="K140" s="478"/>
      <c r="L140" s="487"/>
      <c r="M140" s="478">
        <f t="shared" si="47"/>
        <v>0</v>
      </c>
      <c r="N140" s="487"/>
      <c r="O140" s="478">
        <f t="shared" si="48"/>
        <v>0</v>
      </c>
      <c r="P140" s="478">
        <f t="shared" si="49"/>
        <v>0</v>
      </c>
    </row>
    <row r="141" spans="2:16">
      <c r="B141" s="160" t="str">
        <f t="shared" si="31"/>
        <v/>
      </c>
      <c r="C141" s="472">
        <f>IF(D93="","-",+C140+1)</f>
        <v>2052</v>
      </c>
      <c r="D141" s="347">
        <f>IF(F140+SUM(E$99:E140)=D$92,F140,D$92-SUM(E$99:E140))</f>
        <v>2284.5</v>
      </c>
      <c r="E141" s="486">
        <f>IF(+J96&lt;F140,J96,D141)</f>
        <v>2284.5</v>
      </c>
      <c r="F141" s="485">
        <f t="shared" si="44"/>
        <v>0</v>
      </c>
      <c r="G141" s="485">
        <f t="shared" si="45"/>
        <v>1142.25</v>
      </c>
      <c r="H141" s="486">
        <f t="shared" si="42"/>
        <v>2414.4798178401898</v>
      </c>
      <c r="I141" s="542">
        <f t="shared" si="43"/>
        <v>2414.4798178401898</v>
      </c>
      <c r="J141" s="478">
        <f t="shared" si="46"/>
        <v>0</v>
      </c>
      <c r="K141" s="478"/>
      <c r="L141" s="487"/>
      <c r="M141" s="478">
        <f t="shared" si="47"/>
        <v>0</v>
      </c>
      <c r="N141" s="487"/>
      <c r="O141" s="478">
        <f t="shared" si="48"/>
        <v>0</v>
      </c>
      <c r="P141" s="478">
        <f t="shared" si="49"/>
        <v>0</v>
      </c>
    </row>
    <row r="142" spans="2:16">
      <c r="B142" s="160" t="str">
        <f t="shared" si="31"/>
        <v/>
      </c>
      <c r="C142" s="472">
        <f>IF(D93="","-",+C141+1)</f>
        <v>2053</v>
      </c>
      <c r="D142" s="347">
        <f>IF(F141+SUM(E$99:E141)=D$92,F141,D$92-SUM(E$99:E141))</f>
        <v>0</v>
      </c>
      <c r="E142" s="486">
        <f>IF(+J96&lt;F141,J96,D142)</f>
        <v>0</v>
      </c>
      <c r="F142" s="485">
        <f t="shared" si="44"/>
        <v>0</v>
      </c>
      <c r="G142" s="485">
        <f t="shared" si="45"/>
        <v>0</v>
      </c>
      <c r="H142" s="486">
        <f t="shared" si="42"/>
        <v>0</v>
      </c>
      <c r="I142" s="542">
        <f t="shared" si="43"/>
        <v>0</v>
      </c>
      <c r="J142" s="478">
        <f t="shared" si="46"/>
        <v>0</v>
      </c>
      <c r="K142" s="478"/>
      <c r="L142" s="487"/>
      <c r="M142" s="478">
        <f t="shared" si="47"/>
        <v>0</v>
      </c>
      <c r="N142" s="487"/>
      <c r="O142" s="478">
        <f t="shared" si="48"/>
        <v>0</v>
      </c>
      <c r="P142" s="478">
        <f t="shared" si="49"/>
        <v>0</v>
      </c>
    </row>
    <row r="143" spans="2:16">
      <c r="B143" s="160" t="str">
        <f t="shared" si="31"/>
        <v/>
      </c>
      <c r="C143" s="472">
        <f>IF(D93="","-",+C142+1)</f>
        <v>2054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44"/>
        <v>0</v>
      </c>
      <c r="G143" s="485">
        <f t="shared" si="45"/>
        <v>0</v>
      </c>
      <c r="H143" s="486">
        <f t="shared" si="42"/>
        <v>0</v>
      </c>
      <c r="I143" s="542">
        <f t="shared" si="43"/>
        <v>0</v>
      </c>
      <c r="J143" s="478">
        <f t="shared" si="46"/>
        <v>0</v>
      </c>
      <c r="K143" s="478"/>
      <c r="L143" s="487"/>
      <c r="M143" s="478">
        <f t="shared" si="47"/>
        <v>0</v>
      </c>
      <c r="N143" s="487"/>
      <c r="O143" s="478">
        <f t="shared" si="48"/>
        <v>0</v>
      </c>
      <c r="P143" s="478">
        <f t="shared" si="49"/>
        <v>0</v>
      </c>
    </row>
    <row r="144" spans="2:16">
      <c r="B144" s="160" t="str">
        <f t="shared" si="31"/>
        <v/>
      </c>
      <c r="C144" s="472">
        <f>IF(D93="","-",+C143+1)</f>
        <v>2055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44"/>
        <v>0</v>
      </c>
      <c r="G144" s="485">
        <f t="shared" si="45"/>
        <v>0</v>
      </c>
      <c r="H144" s="486">
        <f t="shared" si="42"/>
        <v>0</v>
      </c>
      <c r="I144" s="542">
        <f t="shared" si="43"/>
        <v>0</v>
      </c>
      <c r="J144" s="478">
        <f t="shared" si="46"/>
        <v>0</v>
      </c>
      <c r="K144" s="478"/>
      <c r="L144" s="487"/>
      <c r="M144" s="478">
        <f t="shared" si="47"/>
        <v>0</v>
      </c>
      <c r="N144" s="487"/>
      <c r="O144" s="478">
        <f t="shared" si="48"/>
        <v>0</v>
      </c>
      <c r="P144" s="478">
        <f t="shared" si="49"/>
        <v>0</v>
      </c>
    </row>
    <row r="145" spans="2:16">
      <c r="B145" s="160" t="str">
        <f t="shared" si="31"/>
        <v/>
      </c>
      <c r="C145" s="472">
        <f>IF(D93="","-",+C144+1)</f>
        <v>2056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44"/>
        <v>0</v>
      </c>
      <c r="G145" s="485">
        <f t="shared" si="45"/>
        <v>0</v>
      </c>
      <c r="H145" s="486">
        <f t="shared" si="42"/>
        <v>0</v>
      </c>
      <c r="I145" s="542">
        <f t="shared" si="43"/>
        <v>0</v>
      </c>
      <c r="J145" s="478">
        <f t="shared" si="46"/>
        <v>0</v>
      </c>
      <c r="K145" s="478"/>
      <c r="L145" s="487"/>
      <c r="M145" s="478">
        <f t="shared" si="47"/>
        <v>0</v>
      </c>
      <c r="N145" s="487"/>
      <c r="O145" s="478">
        <f t="shared" si="48"/>
        <v>0</v>
      </c>
      <c r="P145" s="478">
        <f t="shared" si="49"/>
        <v>0</v>
      </c>
    </row>
    <row r="146" spans="2:16">
      <c r="B146" s="160" t="str">
        <f t="shared" si="31"/>
        <v/>
      </c>
      <c r="C146" s="472">
        <f>IF(D93="","-",+C145+1)</f>
        <v>2057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ref="F146:F154" si="50">+D146-E146</f>
        <v>0</v>
      </c>
      <c r="G146" s="485">
        <f t="shared" ref="G146:G154" si="51">+(F146+D146)/2</f>
        <v>0</v>
      </c>
      <c r="H146" s="486">
        <f t="shared" si="42"/>
        <v>0</v>
      </c>
      <c r="I146" s="542">
        <f t="shared" si="43"/>
        <v>0</v>
      </c>
      <c r="J146" s="478">
        <f t="shared" si="46"/>
        <v>0</v>
      </c>
      <c r="K146" s="478"/>
      <c r="L146" s="487"/>
      <c r="M146" s="478">
        <f t="shared" si="47"/>
        <v>0</v>
      </c>
      <c r="N146" s="487"/>
      <c r="O146" s="478">
        <f t="shared" si="48"/>
        <v>0</v>
      </c>
      <c r="P146" s="478">
        <f t="shared" si="49"/>
        <v>0</v>
      </c>
    </row>
    <row r="147" spans="2:16">
      <c r="B147" s="160" t="str">
        <f t="shared" si="31"/>
        <v/>
      </c>
      <c r="C147" s="472">
        <f>IF(D93="","-",+C146+1)</f>
        <v>2058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50"/>
        <v>0</v>
      </c>
      <c r="G147" s="485">
        <f t="shared" si="51"/>
        <v>0</v>
      </c>
      <c r="H147" s="486">
        <f t="shared" si="42"/>
        <v>0</v>
      </c>
      <c r="I147" s="542">
        <f t="shared" si="43"/>
        <v>0</v>
      </c>
      <c r="J147" s="478">
        <f t="shared" si="46"/>
        <v>0</v>
      </c>
      <c r="K147" s="478"/>
      <c r="L147" s="487"/>
      <c r="M147" s="478">
        <f t="shared" si="47"/>
        <v>0</v>
      </c>
      <c r="N147" s="487"/>
      <c r="O147" s="478">
        <f t="shared" si="48"/>
        <v>0</v>
      </c>
      <c r="P147" s="478">
        <f t="shared" si="49"/>
        <v>0</v>
      </c>
    </row>
    <row r="148" spans="2:16">
      <c r="B148" s="160" t="str">
        <f t="shared" si="31"/>
        <v/>
      </c>
      <c r="C148" s="472">
        <f>IF(D93="","-",+C147+1)</f>
        <v>2059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50"/>
        <v>0</v>
      </c>
      <c r="G148" s="485">
        <f t="shared" si="51"/>
        <v>0</v>
      </c>
      <c r="H148" s="486">
        <f t="shared" si="42"/>
        <v>0</v>
      </c>
      <c r="I148" s="542">
        <f t="shared" si="43"/>
        <v>0</v>
      </c>
      <c r="J148" s="478">
        <f t="shared" si="46"/>
        <v>0</v>
      </c>
      <c r="K148" s="478"/>
      <c r="L148" s="487"/>
      <c r="M148" s="478">
        <f t="shared" si="47"/>
        <v>0</v>
      </c>
      <c r="N148" s="487"/>
      <c r="O148" s="478">
        <f t="shared" si="48"/>
        <v>0</v>
      </c>
      <c r="P148" s="478">
        <f t="shared" si="49"/>
        <v>0</v>
      </c>
    </row>
    <row r="149" spans="2:16">
      <c r="B149" s="160" t="str">
        <f t="shared" si="31"/>
        <v/>
      </c>
      <c r="C149" s="472">
        <f>IF(D93="","-",+C148+1)</f>
        <v>2060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50"/>
        <v>0</v>
      </c>
      <c r="G149" s="485">
        <f t="shared" si="51"/>
        <v>0</v>
      </c>
      <c r="H149" s="486">
        <f t="shared" si="42"/>
        <v>0</v>
      </c>
      <c r="I149" s="542">
        <f t="shared" si="43"/>
        <v>0</v>
      </c>
      <c r="J149" s="478">
        <f t="shared" si="46"/>
        <v>0</v>
      </c>
      <c r="K149" s="478"/>
      <c r="L149" s="487"/>
      <c r="M149" s="478">
        <f t="shared" si="47"/>
        <v>0</v>
      </c>
      <c r="N149" s="487"/>
      <c r="O149" s="478">
        <f t="shared" si="48"/>
        <v>0</v>
      </c>
      <c r="P149" s="478">
        <f t="shared" si="49"/>
        <v>0</v>
      </c>
    </row>
    <row r="150" spans="2:16">
      <c r="B150" s="160" t="str">
        <f t="shared" si="31"/>
        <v/>
      </c>
      <c r="C150" s="472">
        <f>IF(D93="","-",+C149+1)</f>
        <v>2061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50"/>
        <v>0</v>
      </c>
      <c r="G150" s="485">
        <f t="shared" si="51"/>
        <v>0</v>
      </c>
      <c r="H150" s="486">
        <f t="shared" si="42"/>
        <v>0</v>
      </c>
      <c r="I150" s="542">
        <f t="shared" si="43"/>
        <v>0</v>
      </c>
      <c r="J150" s="478">
        <f t="shared" si="46"/>
        <v>0</v>
      </c>
      <c r="K150" s="478"/>
      <c r="L150" s="487"/>
      <c r="M150" s="478">
        <f t="shared" si="47"/>
        <v>0</v>
      </c>
      <c r="N150" s="487"/>
      <c r="O150" s="478">
        <f t="shared" si="48"/>
        <v>0</v>
      </c>
      <c r="P150" s="478">
        <f t="shared" si="49"/>
        <v>0</v>
      </c>
    </row>
    <row r="151" spans="2:16">
      <c r="B151" s="160" t="str">
        <f t="shared" si="31"/>
        <v/>
      </c>
      <c r="C151" s="472">
        <f>IF(D93="","-",+C150+1)</f>
        <v>2062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50"/>
        <v>0</v>
      </c>
      <c r="G151" s="485">
        <f t="shared" si="51"/>
        <v>0</v>
      </c>
      <c r="H151" s="486">
        <f t="shared" si="42"/>
        <v>0</v>
      </c>
      <c r="I151" s="542">
        <f t="shared" si="43"/>
        <v>0</v>
      </c>
      <c r="J151" s="478">
        <f t="shared" si="46"/>
        <v>0</v>
      </c>
      <c r="K151" s="478"/>
      <c r="L151" s="487"/>
      <c r="M151" s="478">
        <f t="shared" si="47"/>
        <v>0</v>
      </c>
      <c r="N151" s="487"/>
      <c r="O151" s="478">
        <f t="shared" si="48"/>
        <v>0</v>
      </c>
      <c r="P151" s="478">
        <f t="shared" si="49"/>
        <v>0</v>
      </c>
    </row>
    <row r="152" spans="2:16">
      <c r="B152" s="160" t="str">
        <f t="shared" si="31"/>
        <v/>
      </c>
      <c r="C152" s="472">
        <f>IF(D93="","-",+C151+1)</f>
        <v>2063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50"/>
        <v>0</v>
      </c>
      <c r="G152" s="485">
        <f t="shared" si="51"/>
        <v>0</v>
      </c>
      <c r="H152" s="486">
        <f t="shared" si="42"/>
        <v>0</v>
      </c>
      <c r="I152" s="542">
        <f t="shared" si="43"/>
        <v>0</v>
      </c>
      <c r="J152" s="478">
        <f t="shared" si="46"/>
        <v>0</v>
      </c>
      <c r="K152" s="478"/>
      <c r="L152" s="487"/>
      <c r="M152" s="478">
        <f t="shared" si="47"/>
        <v>0</v>
      </c>
      <c r="N152" s="487"/>
      <c r="O152" s="478">
        <f t="shared" si="48"/>
        <v>0</v>
      </c>
      <c r="P152" s="478">
        <f t="shared" si="49"/>
        <v>0</v>
      </c>
    </row>
    <row r="153" spans="2:16">
      <c r="B153" s="160" t="str">
        <f t="shared" si="31"/>
        <v/>
      </c>
      <c r="C153" s="472">
        <f>IF(D93="","-",+C152+1)</f>
        <v>2064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50"/>
        <v>0</v>
      </c>
      <c r="G153" s="485">
        <f t="shared" si="51"/>
        <v>0</v>
      </c>
      <c r="H153" s="486">
        <f t="shared" si="42"/>
        <v>0</v>
      </c>
      <c r="I153" s="542">
        <f t="shared" si="43"/>
        <v>0</v>
      </c>
      <c r="J153" s="478">
        <f t="shared" si="46"/>
        <v>0</v>
      </c>
      <c r="K153" s="478"/>
      <c r="L153" s="487"/>
      <c r="M153" s="478">
        <f t="shared" si="47"/>
        <v>0</v>
      </c>
      <c r="N153" s="487"/>
      <c r="O153" s="478">
        <f t="shared" si="48"/>
        <v>0</v>
      </c>
      <c r="P153" s="478">
        <f t="shared" si="49"/>
        <v>0</v>
      </c>
    </row>
    <row r="154" spans="2:16" ht="13.5" thickBot="1">
      <c r="B154" s="160" t="str">
        <f t="shared" si="31"/>
        <v/>
      </c>
      <c r="C154" s="489">
        <f>IF(D93="","-",+C153+1)</f>
        <v>2065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50"/>
        <v>0</v>
      </c>
      <c r="G154" s="490">
        <f t="shared" si="51"/>
        <v>0</v>
      </c>
      <c r="H154" s="492">
        <f t="shared" ref="H154" si="52">+J$94*G154+E154</f>
        <v>0</v>
      </c>
      <c r="I154" s="545">
        <f t="shared" ref="I154" si="53">+J$95*G154+E154</f>
        <v>0</v>
      </c>
      <c r="J154" s="495">
        <f t="shared" si="46"/>
        <v>0</v>
      </c>
      <c r="K154" s="478"/>
      <c r="L154" s="494"/>
      <c r="M154" s="495">
        <f t="shared" si="47"/>
        <v>0</v>
      </c>
      <c r="N154" s="494"/>
      <c r="O154" s="495">
        <f t="shared" si="48"/>
        <v>0</v>
      </c>
      <c r="P154" s="495">
        <f t="shared" si="49"/>
        <v>0</v>
      </c>
    </row>
    <row r="155" spans="2:16">
      <c r="C155" s="347" t="s">
        <v>77</v>
      </c>
      <c r="D155" s="348"/>
      <c r="E155" s="348">
        <f>SUM(E99:E154)</f>
        <v>96566</v>
      </c>
      <c r="F155" s="348"/>
      <c r="G155" s="348"/>
      <c r="H155" s="348">
        <f>SUM(H99:H154)</f>
        <v>352130.28408036678</v>
      </c>
      <c r="I155" s="348">
        <f>SUM(I99:I154)</f>
        <v>352130.28408036678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44" priority="1" stopIfTrue="1" operator="equal">
      <formula>$I$10</formula>
    </cfRule>
  </conditionalFormatting>
  <conditionalFormatting sqref="C99:C154">
    <cfRule type="cellIs" dxfId="43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1">
    <tabColor rgb="FF92D050"/>
  </sheetPr>
  <dimension ref="A1:P162"/>
  <sheetViews>
    <sheetView zoomScaleNormal="100" zoomScaleSheetLayoutView="75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3" width="17.7109375" style="148" customWidth="1"/>
    <col min="14" max="14" width="16.7109375" style="148" customWidth="1"/>
    <col min="15" max="15" width="18.4257812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11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6.5" thickBot="1">
      <c r="C4" s="569" t="s">
        <v>263</v>
      </c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149953.47953488372</v>
      </c>
      <c r="P5" s="233"/>
    </row>
    <row r="6" spans="1:16" ht="15.75">
      <c r="C6" s="570" t="s">
        <v>264</v>
      </c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149953.47953488372</v>
      </c>
      <c r="O6" s="233"/>
      <c r="P6" s="233"/>
    </row>
    <row r="7" spans="1:16" ht="13.5" thickBot="1">
      <c r="C7" s="431" t="s">
        <v>46</v>
      </c>
      <c r="D7" s="432" t="s">
        <v>229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5.75" thickBot="1">
      <c r="C8" s="571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572" t="s">
        <v>228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f>1493723*94%</f>
        <v>1404099.6199999999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2011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32653.479534883718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2011</v>
      </c>
      <c r="D17" s="473">
        <v>1624000</v>
      </c>
      <c r="E17" s="474">
        <v>15921.568627450981</v>
      </c>
      <c r="F17" s="473">
        <v>1608078.4313725489</v>
      </c>
      <c r="G17" s="474">
        <v>267655.54041850357</v>
      </c>
      <c r="H17" s="481">
        <v>267655.54041850357</v>
      </c>
      <c r="I17" s="475">
        <f>H17-G17</f>
        <v>0</v>
      </c>
      <c r="J17" s="475"/>
      <c r="K17" s="554">
        <f t="shared" ref="K17:K22" si="0">G17</f>
        <v>267655.54041850357</v>
      </c>
      <c r="L17" s="562">
        <f t="shared" ref="L17:L48" si="1">IF(K17&lt;&gt;0,+G17-K17,0)</f>
        <v>0</v>
      </c>
      <c r="M17" s="554">
        <f t="shared" ref="M17:M22" si="2">H17</f>
        <v>267655.54041850357</v>
      </c>
      <c r="N17" s="477">
        <f t="shared" ref="N17:N48" si="3">IF(M17&lt;&gt;0,+H17-M17,0)</f>
        <v>0</v>
      </c>
      <c r="O17" s="478">
        <f t="shared" ref="O17:O48" si="4">+N17-L17</f>
        <v>0</v>
      </c>
      <c r="P17" s="243"/>
    </row>
    <row r="18" spans="2:16">
      <c r="B18" s="160" t="str">
        <f t="shared" ref="B18:B49" si="5">IF(D18=F17,"","IU")</f>
        <v>IU</v>
      </c>
      <c r="C18" s="472">
        <f>IF(D11="","-",+C17+1)</f>
        <v>2012</v>
      </c>
      <c r="D18" s="479">
        <v>1420815.4313725489</v>
      </c>
      <c r="E18" s="480">
        <v>27629.557692307691</v>
      </c>
      <c r="F18" s="479">
        <v>1393185.8736802412</v>
      </c>
      <c r="G18" s="480">
        <v>221570.55769230769</v>
      </c>
      <c r="H18" s="481">
        <v>221570.55769230769</v>
      </c>
      <c r="I18" s="475">
        <f t="shared" ref="I18:I48" si="6">H18-G18</f>
        <v>0</v>
      </c>
      <c r="J18" s="475"/>
      <c r="K18" s="476">
        <f t="shared" si="0"/>
        <v>221570.55769230769</v>
      </c>
      <c r="L18" s="550">
        <f t="shared" si="1"/>
        <v>0</v>
      </c>
      <c r="M18" s="476">
        <f t="shared" si="2"/>
        <v>221570.55769230769</v>
      </c>
      <c r="N18" s="478">
        <f t="shared" si="3"/>
        <v>0</v>
      </c>
      <c r="O18" s="478">
        <f t="shared" si="4"/>
        <v>0</v>
      </c>
      <c r="P18" s="243"/>
    </row>
    <row r="19" spans="2:16">
      <c r="B19" s="160" t="str">
        <f t="shared" si="5"/>
        <v>IU</v>
      </c>
      <c r="C19" s="472">
        <f>IF(D11="","-",+C18+1)</f>
        <v>2013</v>
      </c>
      <c r="D19" s="479">
        <v>1450171.8736802414</v>
      </c>
      <c r="E19" s="480">
        <v>28725.442307692309</v>
      </c>
      <c r="F19" s="479">
        <v>1421446.4313725492</v>
      </c>
      <c r="G19" s="480">
        <v>231717.44230769231</v>
      </c>
      <c r="H19" s="481">
        <v>231717.44230769231</v>
      </c>
      <c r="I19" s="475">
        <v>0</v>
      </c>
      <c r="J19" s="475"/>
      <c r="K19" s="476">
        <f t="shared" si="0"/>
        <v>231717.44230769231</v>
      </c>
      <c r="L19" s="550">
        <f t="shared" ref="L19:L24" si="7">IF(K19&lt;&gt;0,+G19-K19,0)</f>
        <v>0</v>
      </c>
      <c r="M19" s="476">
        <f t="shared" si="2"/>
        <v>231717.44230769231</v>
      </c>
      <c r="N19" s="478">
        <f t="shared" ref="N19:N24" si="8">IF(M19&lt;&gt;0,+H19-M19,0)</f>
        <v>0</v>
      </c>
      <c r="O19" s="478">
        <f t="shared" ref="O19:O24" si="9">+N19-L19</f>
        <v>0</v>
      </c>
      <c r="P19" s="243"/>
    </row>
    <row r="20" spans="2:16">
      <c r="B20" s="160" t="str">
        <f t="shared" si="5"/>
        <v>IU</v>
      </c>
      <c r="C20" s="472">
        <f>IF(D11="","-",+C19+1)</f>
        <v>2014</v>
      </c>
      <c r="D20" s="479">
        <v>1331823.0513725488</v>
      </c>
      <c r="E20" s="480">
        <v>27001.915769230767</v>
      </c>
      <c r="F20" s="479">
        <v>1304821.135603318</v>
      </c>
      <c r="G20" s="480">
        <v>206621.91576923078</v>
      </c>
      <c r="H20" s="481">
        <v>206621.91576923078</v>
      </c>
      <c r="I20" s="475">
        <v>0</v>
      </c>
      <c r="J20" s="475"/>
      <c r="K20" s="476">
        <f t="shared" si="0"/>
        <v>206621.91576923078</v>
      </c>
      <c r="L20" s="550">
        <f t="shared" si="7"/>
        <v>0</v>
      </c>
      <c r="M20" s="476">
        <f t="shared" si="2"/>
        <v>206621.91576923078</v>
      </c>
      <c r="N20" s="478">
        <f t="shared" si="8"/>
        <v>0</v>
      </c>
      <c r="O20" s="478">
        <f t="shared" si="9"/>
        <v>0</v>
      </c>
      <c r="P20" s="243"/>
    </row>
    <row r="21" spans="2:16">
      <c r="B21" s="160" t="str">
        <f t="shared" si="5"/>
        <v/>
      </c>
      <c r="C21" s="472">
        <f>IF(D11="","-",+C20+1)</f>
        <v>2015</v>
      </c>
      <c r="D21" s="479">
        <v>1304821.135603318</v>
      </c>
      <c r="E21" s="480">
        <v>27001.915769230767</v>
      </c>
      <c r="F21" s="479">
        <v>1277819.2198340872</v>
      </c>
      <c r="G21" s="480">
        <v>203176.91576923078</v>
      </c>
      <c r="H21" s="481">
        <v>203176.91576923078</v>
      </c>
      <c r="I21" s="475">
        <v>0</v>
      </c>
      <c r="J21" s="475"/>
      <c r="K21" s="476">
        <f t="shared" si="0"/>
        <v>203176.91576923078</v>
      </c>
      <c r="L21" s="550">
        <f t="shared" si="7"/>
        <v>0</v>
      </c>
      <c r="M21" s="476">
        <f t="shared" si="2"/>
        <v>203176.91576923078</v>
      </c>
      <c r="N21" s="478">
        <f t="shared" si="8"/>
        <v>0</v>
      </c>
      <c r="O21" s="478">
        <f t="shared" si="9"/>
        <v>0</v>
      </c>
      <c r="P21" s="243"/>
    </row>
    <row r="22" spans="2:16">
      <c r="B22" s="160" t="str">
        <f t="shared" si="5"/>
        <v/>
      </c>
      <c r="C22" s="472">
        <f>IF(D11="","-",+C21+1)</f>
        <v>2016</v>
      </c>
      <c r="D22" s="479">
        <v>1277819.2198340872</v>
      </c>
      <c r="E22" s="480">
        <v>27001.915769230767</v>
      </c>
      <c r="F22" s="479">
        <v>1250817.3040648564</v>
      </c>
      <c r="G22" s="480">
        <v>191058.91576923078</v>
      </c>
      <c r="H22" s="481">
        <v>191058.91576923078</v>
      </c>
      <c r="I22" s="475">
        <f t="shared" si="6"/>
        <v>0</v>
      </c>
      <c r="J22" s="475"/>
      <c r="K22" s="476">
        <f t="shared" si="0"/>
        <v>191058.91576923078</v>
      </c>
      <c r="L22" s="550">
        <f t="shared" si="7"/>
        <v>0</v>
      </c>
      <c r="M22" s="476">
        <f t="shared" si="2"/>
        <v>191058.91576923078</v>
      </c>
      <c r="N22" s="478">
        <f t="shared" si="8"/>
        <v>0</v>
      </c>
      <c r="O22" s="478">
        <f t="shared" si="9"/>
        <v>0</v>
      </c>
      <c r="P22" s="243"/>
    </row>
    <row r="23" spans="2:16">
      <c r="B23" s="160" t="str">
        <f t="shared" si="5"/>
        <v/>
      </c>
      <c r="C23" s="472">
        <f>IF(D11="","-",+C22+1)</f>
        <v>2017</v>
      </c>
      <c r="D23" s="479">
        <v>1250817.3040648564</v>
      </c>
      <c r="E23" s="480">
        <v>30523.904782608693</v>
      </c>
      <c r="F23" s="479">
        <v>1220293.3992822478</v>
      </c>
      <c r="G23" s="480">
        <v>185818.9047826087</v>
      </c>
      <c r="H23" s="481">
        <v>185818.9047826087</v>
      </c>
      <c r="I23" s="475">
        <f t="shared" si="6"/>
        <v>0</v>
      </c>
      <c r="J23" s="475"/>
      <c r="K23" s="476">
        <f>G23</f>
        <v>185818.9047826087</v>
      </c>
      <c r="L23" s="550">
        <f t="shared" si="7"/>
        <v>0</v>
      </c>
      <c r="M23" s="476">
        <f>H23</f>
        <v>185818.9047826087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5"/>
        <v/>
      </c>
      <c r="C24" s="472">
        <f>IF(D11="","-",+C23+1)</f>
        <v>2018</v>
      </c>
      <c r="D24" s="479">
        <v>1220293.3992822478</v>
      </c>
      <c r="E24" s="480">
        <v>31202.213777777775</v>
      </c>
      <c r="F24" s="479">
        <v>1189091.18550447</v>
      </c>
      <c r="G24" s="480">
        <v>192128.21377777777</v>
      </c>
      <c r="H24" s="481">
        <v>192128.21377777777</v>
      </c>
      <c r="I24" s="475">
        <f t="shared" si="6"/>
        <v>0</v>
      </c>
      <c r="J24" s="475"/>
      <c r="K24" s="476">
        <f>G24</f>
        <v>192128.21377777777</v>
      </c>
      <c r="L24" s="550">
        <f t="shared" si="7"/>
        <v>0</v>
      </c>
      <c r="M24" s="476">
        <f>H24</f>
        <v>192128.21377777777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5"/>
        <v/>
      </c>
      <c r="C25" s="472">
        <f>IF(D11="","-",+C24+1)</f>
        <v>2019</v>
      </c>
      <c r="D25" s="479">
        <v>1189091.18550447</v>
      </c>
      <c r="E25" s="480">
        <v>31202.213777777775</v>
      </c>
      <c r="F25" s="479">
        <v>1157888.9717266923</v>
      </c>
      <c r="G25" s="480">
        <v>187905.21377777777</v>
      </c>
      <c r="H25" s="481">
        <v>187905.21377777777</v>
      </c>
      <c r="I25" s="475">
        <f t="shared" si="6"/>
        <v>0</v>
      </c>
      <c r="J25" s="475"/>
      <c r="K25" s="476">
        <f>G25</f>
        <v>187905.21377777777</v>
      </c>
      <c r="L25" s="550">
        <f t="shared" ref="L25" si="10">IF(K25&lt;&gt;0,+G25-K25,0)</f>
        <v>0</v>
      </c>
      <c r="M25" s="476">
        <f>H25</f>
        <v>187905.21377777777</v>
      </c>
      <c r="N25" s="478">
        <f t="shared" ref="N25" si="11">IF(M25&lt;&gt;0,+H25-M25,0)</f>
        <v>0</v>
      </c>
      <c r="O25" s="478">
        <f t="shared" ref="O25" si="12">+N25-L25</f>
        <v>0</v>
      </c>
      <c r="P25" s="243"/>
    </row>
    <row r="26" spans="2:16">
      <c r="B26" s="160" t="str">
        <f t="shared" si="5"/>
        <v/>
      </c>
      <c r="C26" s="472">
        <f>IF(D11="","-",+C25+1)</f>
        <v>2020</v>
      </c>
      <c r="D26" s="479">
        <v>1157888.9717266923</v>
      </c>
      <c r="E26" s="480">
        <v>33430.943333333329</v>
      </c>
      <c r="F26" s="479">
        <v>1124458.0283933589</v>
      </c>
      <c r="G26" s="480">
        <v>156683.13262286683</v>
      </c>
      <c r="H26" s="481">
        <v>156683.13262286683</v>
      </c>
      <c r="I26" s="475">
        <f t="shared" si="6"/>
        <v>0</v>
      </c>
      <c r="J26" s="475"/>
      <c r="K26" s="476">
        <f>G26</f>
        <v>156683.13262286683</v>
      </c>
      <c r="L26" s="550">
        <f t="shared" ref="L26" si="13">IF(K26&lt;&gt;0,+G26-K26,0)</f>
        <v>0</v>
      </c>
      <c r="M26" s="476">
        <f>H26</f>
        <v>156683.13262286683</v>
      </c>
      <c r="N26" s="478">
        <f t="shared" si="3"/>
        <v>0</v>
      </c>
      <c r="O26" s="478">
        <f t="shared" si="4"/>
        <v>0</v>
      </c>
      <c r="P26" s="243"/>
    </row>
    <row r="27" spans="2:16">
      <c r="B27" s="160" t="str">
        <f t="shared" si="5"/>
        <v>IU</v>
      </c>
      <c r="C27" s="472">
        <f>IF(D11="","-",+C26+1)</f>
        <v>2021</v>
      </c>
      <c r="D27" s="479">
        <v>1120557.7516711368</v>
      </c>
      <c r="E27" s="480">
        <v>32653.479534883718</v>
      </c>
      <c r="F27" s="479">
        <v>1087904.2721362531</v>
      </c>
      <c r="G27" s="480">
        <v>149953.47953488372</v>
      </c>
      <c r="H27" s="481">
        <v>149953.47953488372</v>
      </c>
      <c r="I27" s="475">
        <f t="shared" si="6"/>
        <v>0</v>
      </c>
      <c r="J27" s="475"/>
      <c r="K27" s="476">
        <f>G27</f>
        <v>149953.47953488372</v>
      </c>
      <c r="L27" s="550">
        <f t="shared" ref="L27" si="14">IF(K27&lt;&gt;0,+G27-K27,0)</f>
        <v>0</v>
      </c>
      <c r="M27" s="476">
        <f>H27</f>
        <v>149953.47953488372</v>
      </c>
      <c r="N27" s="478">
        <f t="shared" si="3"/>
        <v>0</v>
      </c>
      <c r="O27" s="478">
        <f t="shared" si="4"/>
        <v>0</v>
      </c>
      <c r="P27" s="243"/>
    </row>
    <row r="28" spans="2:16">
      <c r="B28" s="160" t="str">
        <f t="shared" si="5"/>
        <v>IU</v>
      </c>
      <c r="C28" s="472">
        <f>IF(D11="","-",+C27+1)</f>
        <v>2022</v>
      </c>
      <c r="D28" s="485">
        <f>IF(F27+SUM(E$17:E27)=D$10,F27,D$10-SUM(E$17:E27))</f>
        <v>1091804.5488584754</v>
      </c>
      <c r="E28" s="484">
        <f>IF(+I14&lt;F27,I14,D28)</f>
        <v>32653.479534883718</v>
      </c>
      <c r="F28" s="485">
        <f t="shared" ref="F28:F49" si="15">+D28-E28</f>
        <v>1059151.0693235917</v>
      </c>
      <c r="G28" s="486">
        <f t="shared" ref="G28:G72" si="16">(D28+F28)/2*I$12+E28</f>
        <v>156394.01489893065</v>
      </c>
      <c r="H28" s="455">
        <f t="shared" ref="H28:H72" si="17">+(D28+F28)/2*I$13+E28</f>
        <v>156394.01489893065</v>
      </c>
      <c r="I28" s="475">
        <f t="shared" si="6"/>
        <v>0</v>
      </c>
      <c r="J28" s="475"/>
      <c r="K28" s="487"/>
      <c r="L28" s="478">
        <f t="shared" si="1"/>
        <v>0</v>
      </c>
      <c r="M28" s="487"/>
      <c r="N28" s="478">
        <f t="shared" si="3"/>
        <v>0</v>
      </c>
      <c r="O28" s="478">
        <f t="shared" si="4"/>
        <v>0</v>
      </c>
      <c r="P28" s="243"/>
    </row>
    <row r="29" spans="2:16">
      <c r="B29" s="160" t="str">
        <f t="shared" si="5"/>
        <v/>
      </c>
      <c r="C29" s="472">
        <f>IF(D11="","-",+C28+1)</f>
        <v>2023</v>
      </c>
      <c r="D29" s="485">
        <f>IF(F28+SUM(E$17:E28)=D$10,F28,D$10-SUM(E$17:E28))</f>
        <v>1059151.0693235917</v>
      </c>
      <c r="E29" s="484">
        <f>IF(+I14&lt;F28,I14,D29)</f>
        <v>32653.479534883718</v>
      </c>
      <c r="F29" s="485">
        <f t="shared" si="15"/>
        <v>1026497.5897887079</v>
      </c>
      <c r="G29" s="486">
        <f t="shared" si="16"/>
        <v>152637.02521026341</v>
      </c>
      <c r="H29" s="455">
        <f t="shared" si="17"/>
        <v>152637.02521026341</v>
      </c>
      <c r="I29" s="475">
        <f t="shared" si="6"/>
        <v>0</v>
      </c>
      <c r="J29" s="475"/>
      <c r="K29" s="487"/>
      <c r="L29" s="478">
        <f t="shared" si="1"/>
        <v>0</v>
      </c>
      <c r="M29" s="487"/>
      <c r="N29" s="478">
        <f t="shared" si="3"/>
        <v>0</v>
      </c>
      <c r="O29" s="478">
        <f t="shared" si="4"/>
        <v>0</v>
      </c>
      <c r="P29" s="243"/>
    </row>
    <row r="30" spans="2:16">
      <c r="B30" s="160" t="str">
        <f t="shared" si="5"/>
        <v/>
      </c>
      <c r="C30" s="472">
        <f>IF(D11="","-",+C29+1)</f>
        <v>2024</v>
      </c>
      <c r="D30" s="485">
        <f>IF(F29+SUM(E$17:E29)=D$10,F29,D$10-SUM(E$17:E29))</f>
        <v>1026497.5897887079</v>
      </c>
      <c r="E30" s="484">
        <f>IF(+I14&lt;F29,I14,D30)</f>
        <v>32653.479534883718</v>
      </c>
      <c r="F30" s="485">
        <f t="shared" si="15"/>
        <v>993844.11025382415</v>
      </c>
      <c r="G30" s="486">
        <f t="shared" si="16"/>
        <v>148880.03552159615</v>
      </c>
      <c r="H30" s="455">
        <f t="shared" si="17"/>
        <v>148880.03552159615</v>
      </c>
      <c r="I30" s="475">
        <f t="shared" si="6"/>
        <v>0</v>
      </c>
      <c r="J30" s="475"/>
      <c r="K30" s="487"/>
      <c r="L30" s="478">
        <f t="shared" si="1"/>
        <v>0</v>
      </c>
      <c r="M30" s="487"/>
      <c r="N30" s="478">
        <f t="shared" si="3"/>
        <v>0</v>
      </c>
      <c r="O30" s="478">
        <f t="shared" si="4"/>
        <v>0</v>
      </c>
      <c r="P30" s="243"/>
    </row>
    <row r="31" spans="2:16">
      <c r="B31" s="160" t="str">
        <f t="shared" si="5"/>
        <v/>
      </c>
      <c r="C31" s="472">
        <f>IF(D11="","-",+C30+1)</f>
        <v>2025</v>
      </c>
      <c r="D31" s="485">
        <f>IF(F30+SUM(E$17:E30)=D$10,F30,D$10-SUM(E$17:E30))</f>
        <v>993844.11025382415</v>
      </c>
      <c r="E31" s="484">
        <f>IF(+I14&lt;F30,I14,D31)</f>
        <v>32653.479534883718</v>
      </c>
      <c r="F31" s="485">
        <f t="shared" si="15"/>
        <v>961190.6307189404</v>
      </c>
      <c r="G31" s="486">
        <f t="shared" si="16"/>
        <v>145123.04583292888</v>
      </c>
      <c r="H31" s="455">
        <f t="shared" si="17"/>
        <v>145123.04583292888</v>
      </c>
      <c r="I31" s="475">
        <f t="shared" si="6"/>
        <v>0</v>
      </c>
      <c r="J31" s="475"/>
      <c r="K31" s="487"/>
      <c r="L31" s="478">
        <f t="shared" si="1"/>
        <v>0</v>
      </c>
      <c r="M31" s="487"/>
      <c r="N31" s="478">
        <f t="shared" si="3"/>
        <v>0</v>
      </c>
      <c r="O31" s="478">
        <f t="shared" si="4"/>
        <v>0</v>
      </c>
      <c r="P31" s="243"/>
    </row>
    <row r="32" spans="2:16">
      <c r="B32" s="160" t="str">
        <f t="shared" si="5"/>
        <v/>
      </c>
      <c r="C32" s="472">
        <f>IF(D11="","-",+C31+1)</f>
        <v>2026</v>
      </c>
      <c r="D32" s="485">
        <f>IF(F31+SUM(E$17:E31)=D$10,F31,D$10-SUM(E$17:E31))</f>
        <v>961190.6307189404</v>
      </c>
      <c r="E32" s="484">
        <f>IF(+I14&lt;F31,I14,D32)</f>
        <v>32653.479534883718</v>
      </c>
      <c r="F32" s="485">
        <f t="shared" si="15"/>
        <v>928537.15118405665</v>
      </c>
      <c r="G32" s="486">
        <f t="shared" si="16"/>
        <v>141366.05614426165</v>
      </c>
      <c r="H32" s="455">
        <f t="shared" si="17"/>
        <v>141366.05614426165</v>
      </c>
      <c r="I32" s="475">
        <f t="shared" si="6"/>
        <v>0</v>
      </c>
      <c r="J32" s="475"/>
      <c r="K32" s="487"/>
      <c r="L32" s="478">
        <f t="shared" si="1"/>
        <v>0</v>
      </c>
      <c r="M32" s="487"/>
      <c r="N32" s="478">
        <f t="shared" si="3"/>
        <v>0</v>
      </c>
      <c r="O32" s="478">
        <f t="shared" si="4"/>
        <v>0</v>
      </c>
      <c r="P32" s="243"/>
    </row>
    <row r="33" spans="2:16">
      <c r="B33" s="160" t="str">
        <f t="shared" si="5"/>
        <v/>
      </c>
      <c r="C33" s="472">
        <f>IF(D11="","-",+C32+1)</f>
        <v>2027</v>
      </c>
      <c r="D33" s="485">
        <f>IF(F32+SUM(E$17:E32)=D$10,F32,D$10-SUM(E$17:E32))</f>
        <v>928537.15118405665</v>
      </c>
      <c r="E33" s="484">
        <f>IF(+I14&lt;F32,I14,D33)</f>
        <v>32653.479534883718</v>
      </c>
      <c r="F33" s="485">
        <f t="shared" si="15"/>
        <v>895883.6716491729</v>
      </c>
      <c r="G33" s="486">
        <f t="shared" si="16"/>
        <v>137609.06645559438</v>
      </c>
      <c r="H33" s="455">
        <f t="shared" si="17"/>
        <v>137609.06645559438</v>
      </c>
      <c r="I33" s="475">
        <f t="shared" si="6"/>
        <v>0</v>
      </c>
      <c r="J33" s="475"/>
      <c r="K33" s="487"/>
      <c r="L33" s="478">
        <f t="shared" si="1"/>
        <v>0</v>
      </c>
      <c r="M33" s="487"/>
      <c r="N33" s="478">
        <f t="shared" si="3"/>
        <v>0</v>
      </c>
      <c r="O33" s="478">
        <f t="shared" si="4"/>
        <v>0</v>
      </c>
      <c r="P33" s="243"/>
    </row>
    <row r="34" spans="2:16">
      <c r="B34" s="160" t="str">
        <f t="shared" si="5"/>
        <v/>
      </c>
      <c r="C34" s="472">
        <f>IF(D11="","-",+C33+1)</f>
        <v>2028</v>
      </c>
      <c r="D34" s="485">
        <f>IF(F33+SUM(E$17:E33)=D$10,F33,D$10-SUM(E$17:E33))</f>
        <v>895883.6716491729</v>
      </c>
      <c r="E34" s="484">
        <f>IF(+I14&lt;F33,I14,D34)</f>
        <v>32653.479534883718</v>
      </c>
      <c r="F34" s="485">
        <f t="shared" si="15"/>
        <v>863230.19211428915</v>
      </c>
      <c r="G34" s="486">
        <f t="shared" si="16"/>
        <v>133852.07676692712</v>
      </c>
      <c r="H34" s="455">
        <f t="shared" si="17"/>
        <v>133852.07676692712</v>
      </c>
      <c r="I34" s="475">
        <f t="shared" si="6"/>
        <v>0</v>
      </c>
      <c r="J34" s="475"/>
      <c r="K34" s="487"/>
      <c r="L34" s="478">
        <f t="shared" si="1"/>
        <v>0</v>
      </c>
      <c r="M34" s="487"/>
      <c r="N34" s="478">
        <f t="shared" si="3"/>
        <v>0</v>
      </c>
      <c r="O34" s="478">
        <f t="shared" si="4"/>
        <v>0</v>
      </c>
      <c r="P34" s="243"/>
    </row>
    <row r="35" spans="2:16">
      <c r="B35" s="160" t="str">
        <f t="shared" si="5"/>
        <v/>
      </c>
      <c r="C35" s="472">
        <f>IF(D11="","-",+C34+1)</f>
        <v>2029</v>
      </c>
      <c r="D35" s="485">
        <f>IF(F34+SUM(E$17:E34)=D$10,F34,D$10-SUM(E$17:E34))</f>
        <v>863230.19211428915</v>
      </c>
      <c r="E35" s="484">
        <f>IF(+I14&lt;F34,I14,D35)</f>
        <v>32653.479534883718</v>
      </c>
      <c r="F35" s="485">
        <f t="shared" si="15"/>
        <v>830576.7125794054</v>
      </c>
      <c r="G35" s="486">
        <f t="shared" si="16"/>
        <v>130095.08707825986</v>
      </c>
      <c r="H35" s="455">
        <f t="shared" si="17"/>
        <v>130095.08707825986</v>
      </c>
      <c r="I35" s="475">
        <f t="shared" si="6"/>
        <v>0</v>
      </c>
      <c r="J35" s="475"/>
      <c r="K35" s="487"/>
      <c r="L35" s="478">
        <f t="shared" si="1"/>
        <v>0</v>
      </c>
      <c r="M35" s="487"/>
      <c r="N35" s="478">
        <f t="shared" si="3"/>
        <v>0</v>
      </c>
      <c r="O35" s="478">
        <f t="shared" si="4"/>
        <v>0</v>
      </c>
      <c r="P35" s="243"/>
    </row>
    <row r="36" spans="2:16">
      <c r="B36" s="160" t="str">
        <f t="shared" si="5"/>
        <v/>
      </c>
      <c r="C36" s="472">
        <f>IF(D11="","-",+C35+1)</f>
        <v>2030</v>
      </c>
      <c r="D36" s="485">
        <f>IF(F35+SUM(E$17:E35)=D$10,F35,D$10-SUM(E$17:E35))</f>
        <v>830576.7125794054</v>
      </c>
      <c r="E36" s="484">
        <f>IF(+I14&lt;F35,I14,D36)</f>
        <v>32653.479534883718</v>
      </c>
      <c r="F36" s="485">
        <f t="shared" si="15"/>
        <v>797923.23304452165</v>
      </c>
      <c r="G36" s="486">
        <f t="shared" si="16"/>
        <v>126338.09738959261</v>
      </c>
      <c r="H36" s="455">
        <f t="shared" si="17"/>
        <v>126338.09738959261</v>
      </c>
      <c r="I36" s="475">
        <f t="shared" si="6"/>
        <v>0</v>
      </c>
      <c r="J36" s="475"/>
      <c r="K36" s="487"/>
      <c r="L36" s="478">
        <f t="shared" si="1"/>
        <v>0</v>
      </c>
      <c r="M36" s="487"/>
      <c r="N36" s="478">
        <f t="shared" si="3"/>
        <v>0</v>
      </c>
      <c r="O36" s="478">
        <f t="shared" si="4"/>
        <v>0</v>
      </c>
      <c r="P36" s="243"/>
    </row>
    <row r="37" spans="2:16">
      <c r="B37" s="160" t="str">
        <f t="shared" si="5"/>
        <v/>
      </c>
      <c r="C37" s="472">
        <f>IF(D11="","-",+C36+1)</f>
        <v>2031</v>
      </c>
      <c r="D37" s="485">
        <f>IF(F36+SUM(E$17:E36)=D$10,F36,D$10-SUM(E$17:E36))</f>
        <v>797923.23304452165</v>
      </c>
      <c r="E37" s="484">
        <f>IF(+I14&lt;F36,I14,D37)</f>
        <v>32653.479534883718</v>
      </c>
      <c r="F37" s="485">
        <f t="shared" si="15"/>
        <v>765269.7535096379</v>
      </c>
      <c r="G37" s="486">
        <f t="shared" si="16"/>
        <v>122581.10770092535</v>
      </c>
      <c r="H37" s="455">
        <f t="shared" si="17"/>
        <v>122581.10770092535</v>
      </c>
      <c r="I37" s="475">
        <f t="shared" si="6"/>
        <v>0</v>
      </c>
      <c r="J37" s="475"/>
      <c r="K37" s="487"/>
      <c r="L37" s="478">
        <f t="shared" si="1"/>
        <v>0</v>
      </c>
      <c r="M37" s="487"/>
      <c r="N37" s="478">
        <f t="shared" si="3"/>
        <v>0</v>
      </c>
      <c r="O37" s="478">
        <f t="shared" si="4"/>
        <v>0</v>
      </c>
      <c r="P37" s="243"/>
    </row>
    <row r="38" spans="2:16">
      <c r="B38" s="160" t="str">
        <f t="shared" si="5"/>
        <v/>
      </c>
      <c r="C38" s="472">
        <f>IF(D11="","-",+C37+1)</f>
        <v>2032</v>
      </c>
      <c r="D38" s="485">
        <f>IF(F37+SUM(E$17:E37)=D$10,F37,D$10-SUM(E$17:E37))</f>
        <v>765269.7535096379</v>
      </c>
      <c r="E38" s="484">
        <f>IF(+I14&lt;F37,I14,D38)</f>
        <v>32653.479534883718</v>
      </c>
      <c r="F38" s="485">
        <f t="shared" si="15"/>
        <v>732616.27397475415</v>
      </c>
      <c r="G38" s="486">
        <f t="shared" si="16"/>
        <v>118824.1180122581</v>
      </c>
      <c r="H38" s="455">
        <f t="shared" si="17"/>
        <v>118824.1180122581</v>
      </c>
      <c r="I38" s="475">
        <f t="shared" si="6"/>
        <v>0</v>
      </c>
      <c r="J38" s="475"/>
      <c r="K38" s="487"/>
      <c r="L38" s="478">
        <f t="shared" si="1"/>
        <v>0</v>
      </c>
      <c r="M38" s="487"/>
      <c r="N38" s="478">
        <f t="shared" si="3"/>
        <v>0</v>
      </c>
      <c r="O38" s="478">
        <f t="shared" si="4"/>
        <v>0</v>
      </c>
      <c r="P38" s="243"/>
    </row>
    <row r="39" spans="2:16">
      <c r="B39" s="160" t="str">
        <f t="shared" si="5"/>
        <v/>
      </c>
      <c r="C39" s="472">
        <f>IF(D11="","-",+C38+1)</f>
        <v>2033</v>
      </c>
      <c r="D39" s="485">
        <f>IF(F38+SUM(E$17:E38)=D$10,F38,D$10-SUM(E$17:E38))</f>
        <v>732616.27397475415</v>
      </c>
      <c r="E39" s="484">
        <f>IF(+I14&lt;F38,I14,D39)</f>
        <v>32653.479534883718</v>
      </c>
      <c r="F39" s="485">
        <f t="shared" si="15"/>
        <v>699962.7944398704</v>
      </c>
      <c r="G39" s="486">
        <f t="shared" si="16"/>
        <v>115067.12832359083</v>
      </c>
      <c r="H39" s="455">
        <f t="shared" si="17"/>
        <v>115067.12832359083</v>
      </c>
      <c r="I39" s="475">
        <f t="shared" si="6"/>
        <v>0</v>
      </c>
      <c r="J39" s="475"/>
      <c r="K39" s="487"/>
      <c r="L39" s="478">
        <f t="shared" si="1"/>
        <v>0</v>
      </c>
      <c r="M39" s="487"/>
      <c r="N39" s="478">
        <f t="shared" si="3"/>
        <v>0</v>
      </c>
      <c r="O39" s="478">
        <f t="shared" si="4"/>
        <v>0</v>
      </c>
      <c r="P39" s="243"/>
    </row>
    <row r="40" spans="2:16">
      <c r="B40" s="160" t="str">
        <f t="shared" si="5"/>
        <v/>
      </c>
      <c r="C40" s="472">
        <f>IF(D11="","-",+C39+1)</f>
        <v>2034</v>
      </c>
      <c r="D40" s="485">
        <f>IF(F39+SUM(E$17:E39)=D$10,F39,D$10-SUM(E$17:E39))</f>
        <v>699962.7944398704</v>
      </c>
      <c r="E40" s="484">
        <f>IF(+I14&lt;F39,I14,D40)</f>
        <v>32653.479534883718</v>
      </c>
      <c r="F40" s="485">
        <f t="shared" si="15"/>
        <v>667309.31490498665</v>
      </c>
      <c r="G40" s="486">
        <f t="shared" si="16"/>
        <v>111310.13863492358</v>
      </c>
      <c r="H40" s="455">
        <f t="shared" si="17"/>
        <v>111310.13863492358</v>
      </c>
      <c r="I40" s="475">
        <f t="shared" si="6"/>
        <v>0</v>
      </c>
      <c r="J40" s="475"/>
      <c r="K40" s="487"/>
      <c r="L40" s="478">
        <f t="shared" si="1"/>
        <v>0</v>
      </c>
      <c r="M40" s="487"/>
      <c r="N40" s="478">
        <f t="shared" si="3"/>
        <v>0</v>
      </c>
      <c r="O40" s="478">
        <f t="shared" si="4"/>
        <v>0</v>
      </c>
      <c r="P40" s="243"/>
    </row>
    <row r="41" spans="2:16">
      <c r="B41" s="160" t="str">
        <f t="shared" si="5"/>
        <v/>
      </c>
      <c r="C41" s="472">
        <f>IF(D11="","-",+C40+1)</f>
        <v>2035</v>
      </c>
      <c r="D41" s="485">
        <f>IF(F40+SUM(E$17:E40)=D$10,F40,D$10-SUM(E$17:E40))</f>
        <v>667309.31490498665</v>
      </c>
      <c r="E41" s="484">
        <f>IF(+I14&lt;F40,I14,D41)</f>
        <v>32653.479534883718</v>
      </c>
      <c r="F41" s="485">
        <f t="shared" si="15"/>
        <v>634655.8353701029</v>
      </c>
      <c r="G41" s="486">
        <f t="shared" si="16"/>
        <v>107553.14894625632</v>
      </c>
      <c r="H41" s="455">
        <f t="shared" si="17"/>
        <v>107553.14894625632</v>
      </c>
      <c r="I41" s="475">
        <f t="shared" si="6"/>
        <v>0</v>
      </c>
      <c r="J41" s="475"/>
      <c r="K41" s="487"/>
      <c r="L41" s="478">
        <f t="shared" si="1"/>
        <v>0</v>
      </c>
      <c r="M41" s="487"/>
      <c r="N41" s="478">
        <f t="shared" si="3"/>
        <v>0</v>
      </c>
      <c r="O41" s="478">
        <f t="shared" si="4"/>
        <v>0</v>
      </c>
      <c r="P41" s="243"/>
    </row>
    <row r="42" spans="2:16">
      <c r="B42" s="160" t="str">
        <f t="shared" si="5"/>
        <v/>
      </c>
      <c r="C42" s="472">
        <f>IF(D11="","-",+C41+1)</f>
        <v>2036</v>
      </c>
      <c r="D42" s="485">
        <f>IF(F41+SUM(E$17:E41)=D$10,F41,D$10-SUM(E$17:E41))</f>
        <v>634655.8353701029</v>
      </c>
      <c r="E42" s="484">
        <f>IF(+I14&lt;F41,I14,D42)</f>
        <v>32653.479534883718</v>
      </c>
      <c r="F42" s="485">
        <f t="shared" si="15"/>
        <v>602002.35583521915</v>
      </c>
      <c r="G42" s="486">
        <f t="shared" si="16"/>
        <v>103796.15925758907</v>
      </c>
      <c r="H42" s="455">
        <f t="shared" si="17"/>
        <v>103796.15925758907</v>
      </c>
      <c r="I42" s="475">
        <f t="shared" si="6"/>
        <v>0</v>
      </c>
      <c r="J42" s="475"/>
      <c r="K42" s="487"/>
      <c r="L42" s="478">
        <f t="shared" si="1"/>
        <v>0</v>
      </c>
      <c r="M42" s="487"/>
      <c r="N42" s="478">
        <f t="shared" si="3"/>
        <v>0</v>
      </c>
      <c r="O42" s="478">
        <f t="shared" si="4"/>
        <v>0</v>
      </c>
      <c r="P42" s="243"/>
    </row>
    <row r="43" spans="2:16">
      <c r="B43" s="160" t="str">
        <f t="shared" si="5"/>
        <v/>
      </c>
      <c r="C43" s="472">
        <f>IF(D11="","-",+C42+1)</f>
        <v>2037</v>
      </c>
      <c r="D43" s="485">
        <f>IF(F42+SUM(E$17:E42)=D$10,F42,D$10-SUM(E$17:E42))</f>
        <v>602002.35583521915</v>
      </c>
      <c r="E43" s="484">
        <f>IF(+I14&lt;F42,I14,D43)</f>
        <v>32653.479534883718</v>
      </c>
      <c r="F43" s="485">
        <f t="shared" si="15"/>
        <v>569348.8763003354</v>
      </c>
      <c r="G43" s="486">
        <f t="shared" si="16"/>
        <v>100039.1695689218</v>
      </c>
      <c r="H43" s="455">
        <f t="shared" si="17"/>
        <v>100039.1695689218</v>
      </c>
      <c r="I43" s="475">
        <f t="shared" si="6"/>
        <v>0</v>
      </c>
      <c r="J43" s="475"/>
      <c r="K43" s="487"/>
      <c r="L43" s="478">
        <f t="shared" si="1"/>
        <v>0</v>
      </c>
      <c r="M43" s="487"/>
      <c r="N43" s="478">
        <f t="shared" si="3"/>
        <v>0</v>
      </c>
      <c r="O43" s="478">
        <f t="shared" si="4"/>
        <v>0</v>
      </c>
      <c r="P43" s="243"/>
    </row>
    <row r="44" spans="2:16">
      <c r="B44" s="160" t="str">
        <f t="shared" si="5"/>
        <v/>
      </c>
      <c r="C44" s="472">
        <f>IF(D11="","-",+C43+1)</f>
        <v>2038</v>
      </c>
      <c r="D44" s="485">
        <f>IF(F43+SUM(E$17:E43)=D$10,F43,D$10-SUM(E$17:E43))</f>
        <v>569348.8763003354</v>
      </c>
      <c r="E44" s="484">
        <f>IF(+I14&lt;F43,I14,D44)</f>
        <v>32653.479534883718</v>
      </c>
      <c r="F44" s="485">
        <f t="shared" si="15"/>
        <v>536695.39676545165</v>
      </c>
      <c r="G44" s="486">
        <f t="shared" si="16"/>
        <v>96282.179880254553</v>
      </c>
      <c r="H44" s="455">
        <f t="shared" si="17"/>
        <v>96282.179880254553</v>
      </c>
      <c r="I44" s="475">
        <f t="shared" si="6"/>
        <v>0</v>
      </c>
      <c r="J44" s="475"/>
      <c r="K44" s="487"/>
      <c r="L44" s="478">
        <f t="shared" si="1"/>
        <v>0</v>
      </c>
      <c r="M44" s="487"/>
      <c r="N44" s="478">
        <f t="shared" si="3"/>
        <v>0</v>
      </c>
      <c r="O44" s="478">
        <f t="shared" si="4"/>
        <v>0</v>
      </c>
      <c r="P44" s="243"/>
    </row>
    <row r="45" spans="2:16">
      <c r="B45" s="160" t="str">
        <f t="shared" si="5"/>
        <v/>
      </c>
      <c r="C45" s="472">
        <f>IF(D11="","-",+C44+1)</f>
        <v>2039</v>
      </c>
      <c r="D45" s="485">
        <f>IF(F44+SUM(E$17:E44)=D$10,F44,D$10-SUM(E$17:E44))</f>
        <v>536695.39676545165</v>
      </c>
      <c r="E45" s="484">
        <f>IF(+I14&lt;F44,I14,D45)</f>
        <v>32653.479534883718</v>
      </c>
      <c r="F45" s="485">
        <f t="shared" si="15"/>
        <v>504041.91723056795</v>
      </c>
      <c r="G45" s="486">
        <f t="shared" si="16"/>
        <v>92525.190191587288</v>
      </c>
      <c r="H45" s="455">
        <f t="shared" si="17"/>
        <v>92525.190191587288</v>
      </c>
      <c r="I45" s="475">
        <f t="shared" si="6"/>
        <v>0</v>
      </c>
      <c r="J45" s="475"/>
      <c r="K45" s="487"/>
      <c r="L45" s="478">
        <f t="shared" si="1"/>
        <v>0</v>
      </c>
      <c r="M45" s="487"/>
      <c r="N45" s="478">
        <f t="shared" si="3"/>
        <v>0</v>
      </c>
      <c r="O45" s="478">
        <f t="shared" si="4"/>
        <v>0</v>
      </c>
      <c r="P45" s="243"/>
    </row>
    <row r="46" spans="2:16">
      <c r="B46" s="160" t="str">
        <f t="shared" si="5"/>
        <v/>
      </c>
      <c r="C46" s="472">
        <f>IF(D11="","-",+C45+1)</f>
        <v>2040</v>
      </c>
      <c r="D46" s="485">
        <f>IF(F45+SUM(E$17:E45)=D$10,F45,D$10-SUM(E$17:E45))</f>
        <v>504041.91723056795</v>
      </c>
      <c r="E46" s="484">
        <f>IF(+I14&lt;F45,I14,D46)</f>
        <v>32653.479534883718</v>
      </c>
      <c r="F46" s="485">
        <f t="shared" si="15"/>
        <v>471388.43769568426</v>
      </c>
      <c r="G46" s="486">
        <f t="shared" si="16"/>
        <v>88768.200502920052</v>
      </c>
      <c r="H46" s="455">
        <f t="shared" si="17"/>
        <v>88768.200502920052</v>
      </c>
      <c r="I46" s="475">
        <f t="shared" si="6"/>
        <v>0</v>
      </c>
      <c r="J46" s="475"/>
      <c r="K46" s="487"/>
      <c r="L46" s="478">
        <f t="shared" si="1"/>
        <v>0</v>
      </c>
      <c r="M46" s="487"/>
      <c r="N46" s="478">
        <f t="shared" si="3"/>
        <v>0</v>
      </c>
      <c r="O46" s="478">
        <f t="shared" si="4"/>
        <v>0</v>
      </c>
      <c r="P46" s="243"/>
    </row>
    <row r="47" spans="2:16">
      <c r="B47" s="160" t="str">
        <f t="shared" si="5"/>
        <v/>
      </c>
      <c r="C47" s="472">
        <f>IF(D11="","-",+C46+1)</f>
        <v>2041</v>
      </c>
      <c r="D47" s="485">
        <f>IF(F46+SUM(E$17:E46)=D$10,F46,D$10-SUM(E$17:E46))</f>
        <v>471388.43769568426</v>
      </c>
      <c r="E47" s="484">
        <f>IF(+I14&lt;F46,I14,D47)</f>
        <v>32653.479534883718</v>
      </c>
      <c r="F47" s="485">
        <f t="shared" si="15"/>
        <v>438734.95816080057</v>
      </c>
      <c r="G47" s="486">
        <f t="shared" si="16"/>
        <v>85011.210814252787</v>
      </c>
      <c r="H47" s="455">
        <f t="shared" si="17"/>
        <v>85011.210814252787</v>
      </c>
      <c r="I47" s="475">
        <f t="shared" si="6"/>
        <v>0</v>
      </c>
      <c r="J47" s="475"/>
      <c r="K47" s="487"/>
      <c r="L47" s="478">
        <f t="shared" si="1"/>
        <v>0</v>
      </c>
      <c r="M47" s="487"/>
      <c r="N47" s="478">
        <f t="shared" si="3"/>
        <v>0</v>
      </c>
      <c r="O47" s="478">
        <f t="shared" si="4"/>
        <v>0</v>
      </c>
      <c r="P47" s="243"/>
    </row>
    <row r="48" spans="2:16">
      <c r="B48" s="160" t="str">
        <f t="shared" si="5"/>
        <v/>
      </c>
      <c r="C48" s="472">
        <f>IF(D11="","-",+C47+1)</f>
        <v>2042</v>
      </c>
      <c r="D48" s="485">
        <f>IF(F47+SUM(E$17:E47)=D$10,F47,D$10-SUM(E$17:E47))</f>
        <v>438734.95816080057</v>
      </c>
      <c r="E48" s="484">
        <f>IF(+I14&lt;F47,I14,D48)</f>
        <v>32653.479534883718</v>
      </c>
      <c r="F48" s="485">
        <f t="shared" si="15"/>
        <v>406081.47862591688</v>
      </c>
      <c r="G48" s="486">
        <f t="shared" si="16"/>
        <v>81254.221125585551</v>
      </c>
      <c r="H48" s="455">
        <f t="shared" si="17"/>
        <v>81254.221125585551</v>
      </c>
      <c r="I48" s="475">
        <f t="shared" si="6"/>
        <v>0</v>
      </c>
      <c r="J48" s="475"/>
      <c r="K48" s="487"/>
      <c r="L48" s="478">
        <f t="shared" si="1"/>
        <v>0</v>
      </c>
      <c r="M48" s="487"/>
      <c r="N48" s="478">
        <f t="shared" si="3"/>
        <v>0</v>
      </c>
      <c r="O48" s="478">
        <f t="shared" si="4"/>
        <v>0</v>
      </c>
      <c r="P48" s="243"/>
    </row>
    <row r="49" spans="2:16">
      <c r="B49" s="160" t="str">
        <f t="shared" si="5"/>
        <v/>
      </c>
      <c r="C49" s="472">
        <f>IF(D11="","-",+C48+1)</f>
        <v>2043</v>
      </c>
      <c r="D49" s="485">
        <f>IF(F48+SUM(E$17:E48)=D$10,F48,D$10-SUM(E$17:E48))</f>
        <v>406081.47862591688</v>
      </c>
      <c r="E49" s="484">
        <f>IF(+I14&lt;F48,I14,D49)</f>
        <v>32653.479534883718</v>
      </c>
      <c r="F49" s="485">
        <f t="shared" si="15"/>
        <v>373427.99909103318</v>
      </c>
      <c r="G49" s="486">
        <f t="shared" si="16"/>
        <v>77497.231436918286</v>
      </c>
      <c r="H49" s="455">
        <f t="shared" si="17"/>
        <v>77497.231436918286</v>
      </c>
      <c r="I49" s="475">
        <f t="shared" ref="I49:I72" si="18">H49-G49</f>
        <v>0</v>
      </c>
      <c r="J49" s="475"/>
      <c r="K49" s="487"/>
      <c r="L49" s="478">
        <f t="shared" ref="L49:L72" si="19">IF(K49&lt;&gt;0,+G49-K49,0)</f>
        <v>0</v>
      </c>
      <c r="M49" s="487"/>
      <c r="N49" s="478">
        <f t="shared" ref="N49:N72" si="20">IF(M49&lt;&gt;0,+H49-M49,0)</f>
        <v>0</v>
      </c>
      <c r="O49" s="478">
        <f t="shared" ref="O49:O72" si="21">+N49-L49</f>
        <v>0</v>
      </c>
      <c r="P49" s="243"/>
    </row>
    <row r="50" spans="2:16">
      <c r="B50" s="160" t="str">
        <f t="shared" ref="B50:B72" si="22">IF(D50=F49,"","IU")</f>
        <v/>
      </c>
      <c r="C50" s="472">
        <f>IF(D11="","-",+C49+1)</f>
        <v>2044</v>
      </c>
      <c r="D50" s="485">
        <f>IF(F49+SUM(E$17:E49)=D$10,F49,D$10-SUM(E$17:E49))</f>
        <v>373427.99909103318</v>
      </c>
      <c r="E50" s="484">
        <f>IF(+I14&lt;F49,I14,D50)</f>
        <v>32653.479534883718</v>
      </c>
      <c r="F50" s="485">
        <f t="shared" ref="F50:F72" si="23">+D50-E50</f>
        <v>340774.51955614949</v>
      </c>
      <c r="G50" s="486">
        <f t="shared" si="16"/>
        <v>73740.24174825105</v>
      </c>
      <c r="H50" s="455">
        <f t="shared" si="17"/>
        <v>73740.24174825105</v>
      </c>
      <c r="I50" s="475">
        <f t="shared" si="18"/>
        <v>0</v>
      </c>
      <c r="J50" s="475"/>
      <c r="K50" s="487"/>
      <c r="L50" s="478">
        <f t="shared" si="19"/>
        <v>0</v>
      </c>
      <c r="M50" s="487"/>
      <c r="N50" s="478">
        <f t="shared" si="20"/>
        <v>0</v>
      </c>
      <c r="O50" s="478">
        <f t="shared" si="21"/>
        <v>0</v>
      </c>
      <c r="P50" s="243"/>
    </row>
    <row r="51" spans="2:16">
      <c r="B51" s="160" t="str">
        <f t="shared" si="22"/>
        <v/>
      </c>
      <c r="C51" s="472">
        <f>IF(D11="","-",+C50+1)</f>
        <v>2045</v>
      </c>
      <c r="D51" s="485">
        <f>IF(F50+SUM(E$17:E50)=D$10,F50,D$10-SUM(E$17:E50))</f>
        <v>340774.51955614949</v>
      </c>
      <c r="E51" s="484">
        <f>IF(+I14&lt;F50,I14,D51)</f>
        <v>32653.479534883718</v>
      </c>
      <c r="F51" s="485">
        <f t="shared" si="23"/>
        <v>308121.0400212658</v>
      </c>
      <c r="G51" s="486">
        <f t="shared" si="16"/>
        <v>69983.252059583785</v>
      </c>
      <c r="H51" s="455">
        <f t="shared" si="17"/>
        <v>69983.252059583785</v>
      </c>
      <c r="I51" s="475">
        <f t="shared" si="18"/>
        <v>0</v>
      </c>
      <c r="J51" s="475"/>
      <c r="K51" s="487"/>
      <c r="L51" s="478">
        <f t="shared" si="19"/>
        <v>0</v>
      </c>
      <c r="M51" s="487"/>
      <c r="N51" s="478">
        <f t="shared" si="20"/>
        <v>0</v>
      </c>
      <c r="O51" s="478">
        <f t="shared" si="21"/>
        <v>0</v>
      </c>
      <c r="P51" s="243"/>
    </row>
    <row r="52" spans="2:16">
      <c r="B52" s="160" t="str">
        <f t="shared" si="22"/>
        <v/>
      </c>
      <c r="C52" s="472">
        <f>IF(D11="","-",+C51+1)</f>
        <v>2046</v>
      </c>
      <c r="D52" s="485">
        <f>IF(F51+SUM(E$17:E51)=D$10,F51,D$10-SUM(E$17:E51))</f>
        <v>308121.0400212658</v>
      </c>
      <c r="E52" s="484">
        <f>IF(+I14&lt;F51,I14,D52)</f>
        <v>32653.479534883718</v>
      </c>
      <c r="F52" s="485">
        <f t="shared" si="23"/>
        <v>275467.56048638211</v>
      </c>
      <c r="G52" s="486">
        <f t="shared" si="16"/>
        <v>66226.262370916549</v>
      </c>
      <c r="H52" s="455">
        <f t="shared" si="17"/>
        <v>66226.262370916549</v>
      </c>
      <c r="I52" s="475">
        <f t="shared" si="18"/>
        <v>0</v>
      </c>
      <c r="J52" s="475"/>
      <c r="K52" s="487"/>
      <c r="L52" s="478">
        <f t="shared" si="19"/>
        <v>0</v>
      </c>
      <c r="M52" s="487"/>
      <c r="N52" s="478">
        <f t="shared" si="20"/>
        <v>0</v>
      </c>
      <c r="O52" s="478">
        <f t="shared" si="21"/>
        <v>0</v>
      </c>
      <c r="P52" s="243"/>
    </row>
    <row r="53" spans="2:16">
      <c r="B53" s="160" t="str">
        <f t="shared" si="22"/>
        <v/>
      </c>
      <c r="C53" s="472">
        <f>IF(D11="","-",+C52+1)</f>
        <v>2047</v>
      </c>
      <c r="D53" s="485">
        <f>IF(F52+SUM(E$17:E52)=D$10,F52,D$10-SUM(E$17:E52))</f>
        <v>275467.56048638211</v>
      </c>
      <c r="E53" s="484">
        <f>IF(+I14&lt;F52,I14,D53)</f>
        <v>32653.479534883718</v>
      </c>
      <c r="F53" s="485">
        <f t="shared" si="23"/>
        <v>242814.08095149838</v>
      </c>
      <c r="G53" s="486">
        <f t="shared" si="16"/>
        <v>62469.272682249284</v>
      </c>
      <c r="H53" s="455">
        <f t="shared" si="17"/>
        <v>62469.272682249284</v>
      </c>
      <c r="I53" s="475">
        <f t="shared" si="18"/>
        <v>0</v>
      </c>
      <c r="J53" s="475"/>
      <c r="K53" s="487"/>
      <c r="L53" s="478">
        <f t="shared" si="19"/>
        <v>0</v>
      </c>
      <c r="M53" s="487"/>
      <c r="N53" s="478">
        <f t="shared" si="20"/>
        <v>0</v>
      </c>
      <c r="O53" s="478">
        <f t="shared" si="21"/>
        <v>0</v>
      </c>
      <c r="P53" s="243"/>
    </row>
    <row r="54" spans="2:16">
      <c r="B54" s="160" t="str">
        <f t="shared" si="22"/>
        <v/>
      </c>
      <c r="C54" s="472">
        <f>IF(D11="","-",+C53+1)</f>
        <v>2048</v>
      </c>
      <c r="D54" s="485">
        <f>IF(F53+SUM(E$17:E53)=D$10,F53,D$10-SUM(E$17:E53))</f>
        <v>242814.08095149838</v>
      </c>
      <c r="E54" s="484">
        <f>IF(+I14&lt;F53,I14,D54)</f>
        <v>32653.479534883718</v>
      </c>
      <c r="F54" s="485">
        <f t="shared" si="23"/>
        <v>210160.60141661466</v>
      </c>
      <c r="G54" s="486">
        <f t="shared" si="16"/>
        <v>58712.282993582034</v>
      </c>
      <c r="H54" s="455">
        <f t="shared" si="17"/>
        <v>58712.282993582034</v>
      </c>
      <c r="I54" s="475">
        <f t="shared" si="18"/>
        <v>0</v>
      </c>
      <c r="J54" s="475"/>
      <c r="K54" s="487"/>
      <c r="L54" s="478">
        <f t="shared" si="19"/>
        <v>0</v>
      </c>
      <c r="M54" s="487"/>
      <c r="N54" s="478">
        <f t="shared" si="20"/>
        <v>0</v>
      </c>
      <c r="O54" s="478">
        <f t="shared" si="21"/>
        <v>0</v>
      </c>
      <c r="P54" s="243"/>
    </row>
    <row r="55" spans="2:16">
      <c r="B55" s="160" t="str">
        <f t="shared" si="22"/>
        <v/>
      </c>
      <c r="C55" s="472">
        <f>IF(D11="","-",+C54+1)</f>
        <v>2049</v>
      </c>
      <c r="D55" s="485">
        <f>IF(F54+SUM(E$17:E54)=D$10,F54,D$10-SUM(E$17:E54))</f>
        <v>210160.60141661466</v>
      </c>
      <c r="E55" s="484">
        <f>IF(+I14&lt;F54,I14,D55)</f>
        <v>32653.479534883718</v>
      </c>
      <c r="F55" s="485">
        <f t="shared" si="23"/>
        <v>177507.12188173094</v>
      </c>
      <c r="G55" s="486">
        <f t="shared" si="16"/>
        <v>54955.293304914783</v>
      </c>
      <c r="H55" s="455">
        <f t="shared" si="17"/>
        <v>54955.293304914783</v>
      </c>
      <c r="I55" s="475">
        <f t="shared" si="18"/>
        <v>0</v>
      </c>
      <c r="J55" s="475"/>
      <c r="K55" s="487"/>
      <c r="L55" s="478">
        <f t="shared" si="19"/>
        <v>0</v>
      </c>
      <c r="M55" s="487"/>
      <c r="N55" s="478">
        <f t="shared" si="20"/>
        <v>0</v>
      </c>
      <c r="O55" s="478">
        <f t="shared" si="21"/>
        <v>0</v>
      </c>
      <c r="P55" s="243"/>
    </row>
    <row r="56" spans="2:16">
      <c r="B56" s="160" t="str">
        <f t="shared" si="22"/>
        <v/>
      </c>
      <c r="C56" s="472">
        <f>IF(D11="","-",+C55+1)</f>
        <v>2050</v>
      </c>
      <c r="D56" s="485">
        <f>IF(F55+SUM(E$17:E55)=D$10,F55,D$10-SUM(E$17:E55))</f>
        <v>177507.12188173094</v>
      </c>
      <c r="E56" s="484">
        <f>IF(+I14&lt;F55,I14,D56)</f>
        <v>32653.479534883718</v>
      </c>
      <c r="F56" s="485">
        <f t="shared" si="23"/>
        <v>144853.64234684722</v>
      </c>
      <c r="G56" s="486">
        <f t="shared" si="16"/>
        <v>51198.303616247533</v>
      </c>
      <c r="H56" s="455">
        <f t="shared" si="17"/>
        <v>51198.303616247533</v>
      </c>
      <c r="I56" s="475">
        <f t="shared" si="18"/>
        <v>0</v>
      </c>
      <c r="J56" s="475"/>
      <c r="K56" s="487"/>
      <c r="L56" s="478">
        <f t="shared" si="19"/>
        <v>0</v>
      </c>
      <c r="M56" s="487"/>
      <c r="N56" s="478">
        <f t="shared" si="20"/>
        <v>0</v>
      </c>
      <c r="O56" s="478">
        <f t="shared" si="21"/>
        <v>0</v>
      </c>
      <c r="P56" s="243"/>
    </row>
    <row r="57" spans="2:16">
      <c r="B57" s="160" t="str">
        <f t="shared" si="22"/>
        <v/>
      </c>
      <c r="C57" s="472">
        <f>IF(D11="","-",+C56+1)</f>
        <v>2051</v>
      </c>
      <c r="D57" s="485">
        <f>IF(F56+SUM(E$17:E56)=D$10,F56,D$10-SUM(E$17:E56))</f>
        <v>144853.64234684722</v>
      </c>
      <c r="E57" s="484">
        <f>IF(+I14&lt;F56,I14,D57)</f>
        <v>32653.479534883718</v>
      </c>
      <c r="F57" s="485">
        <f t="shared" si="23"/>
        <v>112200.1628119635</v>
      </c>
      <c r="G57" s="486">
        <f t="shared" si="16"/>
        <v>47441.313927580275</v>
      </c>
      <c r="H57" s="455">
        <f t="shared" si="17"/>
        <v>47441.313927580275</v>
      </c>
      <c r="I57" s="475">
        <f t="shared" si="18"/>
        <v>0</v>
      </c>
      <c r="J57" s="475"/>
      <c r="K57" s="487"/>
      <c r="L57" s="478">
        <f t="shared" si="19"/>
        <v>0</v>
      </c>
      <c r="M57" s="487"/>
      <c r="N57" s="478">
        <f t="shared" si="20"/>
        <v>0</v>
      </c>
      <c r="O57" s="478">
        <f t="shared" si="21"/>
        <v>0</v>
      </c>
      <c r="P57" s="243"/>
    </row>
    <row r="58" spans="2:16">
      <c r="B58" s="160" t="str">
        <f t="shared" si="22"/>
        <v/>
      </c>
      <c r="C58" s="472">
        <f>IF(D11="","-",+C57+1)</f>
        <v>2052</v>
      </c>
      <c r="D58" s="485">
        <f>IF(F57+SUM(E$17:E57)=D$10,F57,D$10-SUM(E$17:E57))</f>
        <v>112200.1628119635</v>
      </c>
      <c r="E58" s="484">
        <f>IF(+I14&lt;F57,I14,D58)</f>
        <v>32653.479534883718</v>
      </c>
      <c r="F58" s="485">
        <f t="shared" si="23"/>
        <v>79546.683277079777</v>
      </c>
      <c r="G58" s="486">
        <f t="shared" si="16"/>
        <v>43684.324238913017</v>
      </c>
      <c r="H58" s="455">
        <f t="shared" si="17"/>
        <v>43684.324238913017</v>
      </c>
      <c r="I58" s="475">
        <f t="shared" si="18"/>
        <v>0</v>
      </c>
      <c r="J58" s="475"/>
      <c r="K58" s="487"/>
      <c r="L58" s="478">
        <f t="shared" si="19"/>
        <v>0</v>
      </c>
      <c r="M58" s="487"/>
      <c r="N58" s="478">
        <f t="shared" si="20"/>
        <v>0</v>
      </c>
      <c r="O58" s="478">
        <f t="shared" si="21"/>
        <v>0</v>
      </c>
      <c r="P58" s="243"/>
    </row>
    <row r="59" spans="2:16">
      <c r="B59" s="160" t="str">
        <f t="shared" si="22"/>
        <v/>
      </c>
      <c r="C59" s="472">
        <f>IF(D11="","-",+C58+1)</f>
        <v>2053</v>
      </c>
      <c r="D59" s="485">
        <f>IF(F58+SUM(E$17:E58)=D$10,F58,D$10-SUM(E$17:E58))</f>
        <v>79546.683277079777</v>
      </c>
      <c r="E59" s="484">
        <f>IF(+I14&lt;F58,I14,D59)</f>
        <v>32653.479534883718</v>
      </c>
      <c r="F59" s="485">
        <f t="shared" si="23"/>
        <v>46893.203742196056</v>
      </c>
      <c r="G59" s="486">
        <f t="shared" si="16"/>
        <v>39927.334550245767</v>
      </c>
      <c r="H59" s="455">
        <f t="shared" si="17"/>
        <v>39927.334550245767</v>
      </c>
      <c r="I59" s="475">
        <f t="shared" si="18"/>
        <v>0</v>
      </c>
      <c r="J59" s="475"/>
      <c r="K59" s="487"/>
      <c r="L59" s="478">
        <f t="shared" si="19"/>
        <v>0</v>
      </c>
      <c r="M59" s="487"/>
      <c r="N59" s="478">
        <f t="shared" si="20"/>
        <v>0</v>
      </c>
      <c r="O59" s="478">
        <f t="shared" si="21"/>
        <v>0</v>
      </c>
      <c r="P59" s="243"/>
    </row>
    <row r="60" spans="2:16">
      <c r="B60" s="160" t="str">
        <f t="shared" si="22"/>
        <v/>
      </c>
      <c r="C60" s="472">
        <f>IF(D11="","-",+C59+1)</f>
        <v>2054</v>
      </c>
      <c r="D60" s="485">
        <f>IF(F59+SUM(E$17:E59)=D$10,F59,D$10-SUM(E$17:E59))</f>
        <v>46893.203742196056</v>
      </c>
      <c r="E60" s="484">
        <f>IF(+I14&lt;F59,I14,D60)</f>
        <v>32653.479534883718</v>
      </c>
      <c r="F60" s="485">
        <f t="shared" si="23"/>
        <v>14239.724207312338</v>
      </c>
      <c r="G60" s="486">
        <f t="shared" si="16"/>
        <v>36170.344861578509</v>
      </c>
      <c r="H60" s="455">
        <f t="shared" si="17"/>
        <v>36170.344861578509</v>
      </c>
      <c r="I60" s="475">
        <f t="shared" si="18"/>
        <v>0</v>
      </c>
      <c r="J60" s="475"/>
      <c r="K60" s="487"/>
      <c r="L60" s="478">
        <f t="shared" si="19"/>
        <v>0</v>
      </c>
      <c r="M60" s="487"/>
      <c r="N60" s="478">
        <f t="shared" si="20"/>
        <v>0</v>
      </c>
      <c r="O60" s="478">
        <f t="shared" si="21"/>
        <v>0</v>
      </c>
      <c r="P60" s="243"/>
    </row>
    <row r="61" spans="2:16">
      <c r="B61" s="160" t="str">
        <f t="shared" si="22"/>
        <v/>
      </c>
      <c r="C61" s="472">
        <f>IF(D11="","-",+C60+1)</f>
        <v>2055</v>
      </c>
      <c r="D61" s="485">
        <f>IF(F60+SUM(E$17:E60)=D$10,F60,D$10-SUM(E$17:E60))</f>
        <v>14239.724207312338</v>
      </c>
      <c r="E61" s="484">
        <f>IF(+I14&lt;F60,I14,D61)</f>
        <v>14239.724207312338</v>
      </c>
      <c r="F61" s="485">
        <f t="shared" si="23"/>
        <v>0</v>
      </c>
      <c r="G61" s="486">
        <f t="shared" si="16"/>
        <v>15058.909448492921</v>
      </c>
      <c r="H61" s="455">
        <f t="shared" si="17"/>
        <v>15058.909448492921</v>
      </c>
      <c r="I61" s="475">
        <f t="shared" si="18"/>
        <v>0</v>
      </c>
      <c r="J61" s="475"/>
      <c r="K61" s="487"/>
      <c r="L61" s="478">
        <f t="shared" si="19"/>
        <v>0</v>
      </c>
      <c r="M61" s="487"/>
      <c r="N61" s="478">
        <f t="shared" si="20"/>
        <v>0</v>
      </c>
      <c r="O61" s="478">
        <f t="shared" si="21"/>
        <v>0</v>
      </c>
      <c r="P61" s="243"/>
    </row>
    <row r="62" spans="2:16">
      <c r="B62" s="160" t="str">
        <f t="shared" si="22"/>
        <v/>
      </c>
      <c r="C62" s="472">
        <f>IF(D11="","-",+C61+1)</f>
        <v>2056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3"/>
        <v>0</v>
      </c>
      <c r="G62" s="486">
        <f t="shared" si="16"/>
        <v>0</v>
      </c>
      <c r="H62" s="455">
        <f t="shared" si="17"/>
        <v>0</v>
      </c>
      <c r="I62" s="475">
        <f t="shared" si="18"/>
        <v>0</v>
      </c>
      <c r="J62" s="475"/>
      <c r="K62" s="487"/>
      <c r="L62" s="478">
        <f t="shared" si="19"/>
        <v>0</v>
      </c>
      <c r="M62" s="487"/>
      <c r="N62" s="478">
        <f t="shared" si="20"/>
        <v>0</v>
      </c>
      <c r="O62" s="478">
        <f t="shared" si="21"/>
        <v>0</v>
      </c>
      <c r="P62" s="243"/>
    </row>
    <row r="63" spans="2:16">
      <c r="B63" s="160" t="str">
        <f t="shared" si="22"/>
        <v/>
      </c>
      <c r="C63" s="472">
        <f>IF(D11="","-",+C62+1)</f>
        <v>2057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3"/>
        <v>0</v>
      </c>
      <c r="G63" s="486">
        <f t="shared" si="16"/>
        <v>0</v>
      </c>
      <c r="H63" s="455">
        <f t="shared" si="17"/>
        <v>0</v>
      </c>
      <c r="I63" s="475">
        <f t="shared" si="18"/>
        <v>0</v>
      </c>
      <c r="J63" s="475"/>
      <c r="K63" s="487"/>
      <c r="L63" s="478">
        <f t="shared" si="19"/>
        <v>0</v>
      </c>
      <c r="M63" s="487"/>
      <c r="N63" s="478">
        <f t="shared" si="20"/>
        <v>0</v>
      </c>
      <c r="O63" s="478">
        <f t="shared" si="21"/>
        <v>0</v>
      </c>
      <c r="P63" s="243"/>
    </row>
    <row r="64" spans="2:16">
      <c r="B64" s="160" t="str">
        <f t="shared" si="22"/>
        <v/>
      </c>
      <c r="C64" s="472">
        <f>IF(D11="","-",+C63+1)</f>
        <v>2058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3"/>
        <v>0</v>
      </c>
      <c r="G64" s="486">
        <f t="shared" si="16"/>
        <v>0</v>
      </c>
      <c r="H64" s="455">
        <f t="shared" si="17"/>
        <v>0</v>
      </c>
      <c r="I64" s="475">
        <f t="shared" si="18"/>
        <v>0</v>
      </c>
      <c r="J64" s="475"/>
      <c r="K64" s="487"/>
      <c r="L64" s="478">
        <f t="shared" si="19"/>
        <v>0</v>
      </c>
      <c r="M64" s="487"/>
      <c r="N64" s="478">
        <f t="shared" si="20"/>
        <v>0</v>
      </c>
      <c r="O64" s="478">
        <f t="shared" si="21"/>
        <v>0</v>
      </c>
      <c r="P64" s="243"/>
    </row>
    <row r="65" spans="2:16">
      <c r="B65" s="160" t="str">
        <f t="shared" si="22"/>
        <v/>
      </c>
      <c r="C65" s="472">
        <f>IF(D11="","-",+C64+1)</f>
        <v>2059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3"/>
        <v>0</v>
      </c>
      <c r="G65" s="486">
        <f t="shared" si="16"/>
        <v>0</v>
      </c>
      <c r="H65" s="455">
        <f t="shared" si="17"/>
        <v>0</v>
      </c>
      <c r="I65" s="475">
        <f t="shared" si="18"/>
        <v>0</v>
      </c>
      <c r="J65" s="475"/>
      <c r="K65" s="487"/>
      <c r="L65" s="478">
        <f t="shared" si="19"/>
        <v>0</v>
      </c>
      <c r="M65" s="487"/>
      <c r="N65" s="478">
        <f t="shared" si="20"/>
        <v>0</v>
      </c>
      <c r="O65" s="478">
        <f t="shared" si="21"/>
        <v>0</v>
      </c>
      <c r="P65" s="243"/>
    </row>
    <row r="66" spans="2:16">
      <c r="B66" s="160" t="str">
        <f t="shared" si="22"/>
        <v/>
      </c>
      <c r="C66" s="472">
        <f>IF(D11="","-",+C65+1)</f>
        <v>2060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3"/>
        <v>0</v>
      </c>
      <c r="G66" s="486">
        <f t="shared" si="16"/>
        <v>0</v>
      </c>
      <c r="H66" s="455">
        <f t="shared" si="17"/>
        <v>0</v>
      </c>
      <c r="I66" s="475">
        <f t="shared" si="18"/>
        <v>0</v>
      </c>
      <c r="J66" s="475"/>
      <c r="K66" s="487"/>
      <c r="L66" s="478">
        <f t="shared" si="19"/>
        <v>0</v>
      </c>
      <c r="M66" s="487"/>
      <c r="N66" s="478">
        <f t="shared" si="20"/>
        <v>0</v>
      </c>
      <c r="O66" s="478">
        <f t="shared" si="21"/>
        <v>0</v>
      </c>
      <c r="P66" s="243"/>
    </row>
    <row r="67" spans="2:16">
      <c r="B67" s="160" t="str">
        <f t="shared" si="22"/>
        <v/>
      </c>
      <c r="C67" s="472">
        <f>IF(D11="","-",+C66+1)</f>
        <v>2061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3"/>
        <v>0</v>
      </c>
      <c r="G67" s="486">
        <f t="shared" si="16"/>
        <v>0</v>
      </c>
      <c r="H67" s="455">
        <f t="shared" si="17"/>
        <v>0</v>
      </c>
      <c r="I67" s="475">
        <f t="shared" si="18"/>
        <v>0</v>
      </c>
      <c r="J67" s="475"/>
      <c r="K67" s="487"/>
      <c r="L67" s="478">
        <f t="shared" si="19"/>
        <v>0</v>
      </c>
      <c r="M67" s="487"/>
      <c r="N67" s="478">
        <f t="shared" si="20"/>
        <v>0</v>
      </c>
      <c r="O67" s="478">
        <f t="shared" si="21"/>
        <v>0</v>
      </c>
      <c r="P67" s="243"/>
    </row>
    <row r="68" spans="2:16">
      <c r="B68" s="160" t="str">
        <f t="shared" si="22"/>
        <v/>
      </c>
      <c r="C68" s="472">
        <f>IF(D11="","-",+C67+1)</f>
        <v>2062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3"/>
        <v>0</v>
      </c>
      <c r="G68" s="486">
        <f t="shared" si="16"/>
        <v>0</v>
      </c>
      <c r="H68" s="455">
        <f t="shared" si="17"/>
        <v>0</v>
      </c>
      <c r="I68" s="475">
        <f t="shared" si="18"/>
        <v>0</v>
      </c>
      <c r="J68" s="475"/>
      <c r="K68" s="487"/>
      <c r="L68" s="478">
        <f t="shared" si="19"/>
        <v>0</v>
      </c>
      <c r="M68" s="487"/>
      <c r="N68" s="478">
        <f t="shared" si="20"/>
        <v>0</v>
      </c>
      <c r="O68" s="478">
        <f t="shared" si="21"/>
        <v>0</v>
      </c>
      <c r="P68" s="243"/>
    </row>
    <row r="69" spans="2:16">
      <c r="B69" s="160" t="str">
        <f t="shared" si="22"/>
        <v/>
      </c>
      <c r="C69" s="472">
        <f>IF(D11="","-",+C68+1)</f>
        <v>2063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3"/>
        <v>0</v>
      </c>
      <c r="G69" s="486">
        <f t="shared" si="16"/>
        <v>0</v>
      </c>
      <c r="H69" s="455">
        <f t="shared" si="17"/>
        <v>0</v>
      </c>
      <c r="I69" s="475">
        <f t="shared" si="18"/>
        <v>0</v>
      </c>
      <c r="J69" s="475"/>
      <c r="K69" s="487"/>
      <c r="L69" s="478">
        <f t="shared" si="19"/>
        <v>0</v>
      </c>
      <c r="M69" s="487"/>
      <c r="N69" s="478">
        <f t="shared" si="20"/>
        <v>0</v>
      </c>
      <c r="O69" s="478">
        <f t="shared" si="21"/>
        <v>0</v>
      </c>
      <c r="P69" s="243"/>
    </row>
    <row r="70" spans="2:16">
      <c r="B70" s="160" t="str">
        <f t="shared" si="22"/>
        <v/>
      </c>
      <c r="C70" s="472">
        <f>IF(D11="","-",+C69+1)</f>
        <v>2064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3"/>
        <v>0</v>
      </c>
      <c r="G70" s="486">
        <f t="shared" si="16"/>
        <v>0</v>
      </c>
      <c r="H70" s="455">
        <f t="shared" si="17"/>
        <v>0</v>
      </c>
      <c r="I70" s="475">
        <f t="shared" si="18"/>
        <v>0</v>
      </c>
      <c r="J70" s="475"/>
      <c r="K70" s="487"/>
      <c r="L70" s="478">
        <f t="shared" si="19"/>
        <v>0</v>
      </c>
      <c r="M70" s="487"/>
      <c r="N70" s="478">
        <f t="shared" si="20"/>
        <v>0</v>
      </c>
      <c r="O70" s="478">
        <f t="shared" si="21"/>
        <v>0</v>
      </c>
      <c r="P70" s="243"/>
    </row>
    <row r="71" spans="2:16">
      <c r="B71" s="160" t="str">
        <f t="shared" si="22"/>
        <v/>
      </c>
      <c r="C71" s="472">
        <f>IF(D11="","-",+C70+1)</f>
        <v>2065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3"/>
        <v>0</v>
      </c>
      <c r="G71" s="486">
        <f t="shared" si="16"/>
        <v>0</v>
      </c>
      <c r="H71" s="455">
        <f t="shared" si="17"/>
        <v>0</v>
      </c>
      <c r="I71" s="475">
        <f t="shared" si="18"/>
        <v>0</v>
      </c>
      <c r="J71" s="475"/>
      <c r="K71" s="487"/>
      <c r="L71" s="478">
        <f t="shared" si="19"/>
        <v>0</v>
      </c>
      <c r="M71" s="487"/>
      <c r="N71" s="478">
        <f t="shared" si="20"/>
        <v>0</v>
      </c>
      <c r="O71" s="478">
        <f t="shared" si="21"/>
        <v>0</v>
      </c>
      <c r="P71" s="243"/>
    </row>
    <row r="72" spans="2:16" ht="13.5" thickBot="1">
      <c r="B72" s="160" t="str">
        <f t="shared" si="22"/>
        <v/>
      </c>
      <c r="C72" s="489">
        <f>IF(D11="","-",+C71+1)</f>
        <v>2066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3"/>
        <v>0</v>
      </c>
      <c r="G72" s="490">
        <f t="shared" si="16"/>
        <v>0</v>
      </c>
      <c r="H72" s="490">
        <f t="shared" si="17"/>
        <v>0</v>
      </c>
      <c r="I72" s="493">
        <f t="shared" si="18"/>
        <v>0</v>
      </c>
      <c r="J72" s="475"/>
      <c r="K72" s="494"/>
      <c r="L72" s="495">
        <f t="shared" si="19"/>
        <v>0</v>
      </c>
      <c r="M72" s="494"/>
      <c r="N72" s="495">
        <f t="shared" si="20"/>
        <v>0</v>
      </c>
      <c r="O72" s="495">
        <f t="shared" si="21"/>
        <v>0</v>
      </c>
      <c r="P72" s="243"/>
    </row>
    <row r="73" spans="2:16">
      <c r="C73" s="347" t="s">
        <v>77</v>
      </c>
      <c r="D73" s="348"/>
      <c r="E73" s="348">
        <f>SUM(E17:E72)</f>
        <v>1404099.62</v>
      </c>
      <c r="F73" s="348"/>
      <c r="G73" s="348">
        <f>SUM(G17:G72)</f>
        <v>5386661.0777190048</v>
      </c>
      <c r="H73" s="348">
        <f>SUM(H17:H72)</f>
        <v>5386661.0777190048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11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149953.47953488372</v>
      </c>
      <c r="N87" s="508">
        <f>IF(J92&lt;D11,0,VLOOKUP(J92,C17:O72,11))</f>
        <v>149953.47953488372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159544.11150802768</v>
      </c>
      <c r="N88" s="512">
        <f>IF(J92&lt;D11,0,VLOOKUP(J92,C99:P154,7))</f>
        <v>159544.11150802768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Bartlesville SE to Coffeyville T Rebuild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9590.631973143958</v>
      </c>
      <c r="N89" s="517">
        <f>+N88-N87</f>
        <v>9590.631973143958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TP2008079-PSO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f>D10</f>
        <v>1404099.6199999999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2011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34246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2011</v>
      </c>
      <c r="D99" s="473">
        <v>0</v>
      </c>
      <c r="E99" s="480">
        <v>13815</v>
      </c>
      <c r="F99" s="573">
        <v>1422922</v>
      </c>
      <c r="G99" s="537">
        <v>711461</v>
      </c>
      <c r="H99" s="539">
        <v>113286.80836539247</v>
      </c>
      <c r="I99" s="539">
        <v>113286.80836539247</v>
      </c>
      <c r="J99" s="478">
        <f t="shared" ref="J99:J130" si="24">+I99-H99</f>
        <v>0</v>
      </c>
      <c r="K99" s="574"/>
      <c r="L99" s="567">
        <f t="shared" ref="L99:L104" si="25">H99</f>
        <v>113286.80836539247</v>
      </c>
      <c r="M99" s="575">
        <f t="shared" ref="M99:M130" si="26">IF(L99&lt;&gt;0,+H99-L99,0)</f>
        <v>0</v>
      </c>
      <c r="N99" s="567">
        <f t="shared" ref="N99:N104" si="27">I99</f>
        <v>113286.80836539247</v>
      </c>
      <c r="O99" s="477">
        <f t="shared" ref="O99:O130" si="28">IF(N99&lt;&gt;0,+I99-N99,0)</f>
        <v>0</v>
      </c>
      <c r="P99" s="349">
        <f t="shared" ref="P99:P130" si="29">+O99-M99</f>
        <v>0</v>
      </c>
    </row>
    <row r="100" spans="1:16">
      <c r="B100" s="160" t="str">
        <f t="shared" ref="B100:B131" si="30">IF(D100=F99,"","IU")</f>
        <v>IU</v>
      </c>
      <c r="C100" s="472">
        <f>IF(D93="","-",+C99+1)</f>
        <v>2012</v>
      </c>
      <c r="D100" s="473">
        <v>1479908</v>
      </c>
      <c r="E100" s="480">
        <v>28725</v>
      </c>
      <c r="F100" s="573">
        <v>1451183</v>
      </c>
      <c r="G100" s="479">
        <v>1465545.5</v>
      </c>
      <c r="H100" s="539">
        <v>239551.75399863988</v>
      </c>
      <c r="I100" s="539">
        <v>239551.75399863988</v>
      </c>
      <c r="J100" s="478">
        <v>0</v>
      </c>
      <c r="K100" s="574"/>
      <c r="L100" s="540">
        <f t="shared" si="25"/>
        <v>239551.75399863988</v>
      </c>
      <c r="M100" s="575">
        <f t="shared" ref="M100:M105" si="31">IF(L100&lt;&gt;0,+H100-L100,0)</f>
        <v>0</v>
      </c>
      <c r="N100" s="540">
        <f t="shared" si="27"/>
        <v>239551.75399863988</v>
      </c>
      <c r="O100" s="478">
        <f t="shared" ref="O100:O105" si="32">IF(N100&lt;&gt;0,+I100-N100,0)</f>
        <v>0</v>
      </c>
      <c r="P100" s="349">
        <f t="shared" ref="P100:P105" si="33">+O100-M100</f>
        <v>0</v>
      </c>
    </row>
    <row r="101" spans="1:16">
      <c r="B101" s="160" t="str">
        <f t="shared" si="30"/>
        <v/>
      </c>
      <c r="C101" s="472">
        <f>IF(D93="","-",+C100+1)</f>
        <v>2013</v>
      </c>
      <c r="D101" s="473">
        <v>1451183</v>
      </c>
      <c r="E101" s="480">
        <v>28725</v>
      </c>
      <c r="F101" s="573">
        <v>1422458</v>
      </c>
      <c r="G101" s="479">
        <v>1436820.5</v>
      </c>
      <c r="H101" s="539">
        <v>235540.35933406017</v>
      </c>
      <c r="I101" s="539">
        <v>235540.35933406017</v>
      </c>
      <c r="J101" s="478">
        <v>0</v>
      </c>
      <c r="K101" s="574"/>
      <c r="L101" s="540">
        <f t="shared" si="25"/>
        <v>235540.35933406017</v>
      </c>
      <c r="M101" s="575">
        <f t="shared" si="31"/>
        <v>0</v>
      </c>
      <c r="N101" s="540">
        <f t="shared" si="27"/>
        <v>235540.35933406017</v>
      </c>
      <c r="O101" s="478">
        <f t="shared" si="32"/>
        <v>0</v>
      </c>
      <c r="P101" s="349">
        <f t="shared" si="33"/>
        <v>0</v>
      </c>
    </row>
    <row r="102" spans="1:16">
      <c r="B102" s="160" t="str">
        <f t="shared" si="30"/>
        <v>IU</v>
      </c>
      <c r="C102" s="472">
        <f>IF(D93="","-",+C101+1)</f>
        <v>2014</v>
      </c>
      <c r="D102" s="473">
        <v>1332834.6199999999</v>
      </c>
      <c r="E102" s="480">
        <v>27002</v>
      </c>
      <c r="F102" s="573">
        <v>1305832.6199999999</v>
      </c>
      <c r="G102" s="479">
        <v>1319333.6199999999</v>
      </c>
      <c r="H102" s="539">
        <v>212494.91385632072</v>
      </c>
      <c r="I102" s="539">
        <v>212494.91385632072</v>
      </c>
      <c r="J102" s="478">
        <v>0</v>
      </c>
      <c r="K102" s="574"/>
      <c r="L102" s="540">
        <f t="shared" si="25"/>
        <v>212494.91385632072</v>
      </c>
      <c r="M102" s="575">
        <f t="shared" si="31"/>
        <v>0</v>
      </c>
      <c r="N102" s="540">
        <f t="shared" si="27"/>
        <v>212494.91385632072</v>
      </c>
      <c r="O102" s="478">
        <f t="shared" si="32"/>
        <v>0</v>
      </c>
      <c r="P102" s="349">
        <f t="shared" si="33"/>
        <v>0</v>
      </c>
    </row>
    <row r="103" spans="1:16">
      <c r="B103" s="160" t="str">
        <f t="shared" si="30"/>
        <v/>
      </c>
      <c r="C103" s="472">
        <f>IF(D93="","-",+C102+1)</f>
        <v>2015</v>
      </c>
      <c r="D103" s="473">
        <v>1305832.6199999999</v>
      </c>
      <c r="E103" s="480">
        <v>27002</v>
      </c>
      <c r="F103" s="573">
        <v>1278830.6199999999</v>
      </c>
      <c r="G103" s="479">
        <v>1292331.6199999999</v>
      </c>
      <c r="H103" s="539">
        <v>203330.25869072074</v>
      </c>
      <c r="I103" s="539">
        <v>203330.25869072074</v>
      </c>
      <c r="J103" s="478">
        <f t="shared" si="24"/>
        <v>0</v>
      </c>
      <c r="K103" s="574"/>
      <c r="L103" s="540">
        <f t="shared" si="25"/>
        <v>203330.25869072074</v>
      </c>
      <c r="M103" s="575">
        <f t="shared" si="31"/>
        <v>0</v>
      </c>
      <c r="N103" s="540">
        <f t="shared" si="27"/>
        <v>203330.25869072074</v>
      </c>
      <c r="O103" s="478">
        <f t="shared" si="32"/>
        <v>0</v>
      </c>
      <c r="P103" s="349">
        <f t="shared" si="33"/>
        <v>0</v>
      </c>
    </row>
    <row r="104" spans="1:16">
      <c r="B104" s="160" t="str">
        <f t="shared" si="30"/>
        <v/>
      </c>
      <c r="C104" s="472">
        <f>IF(D93="","-",+C103+1)</f>
        <v>2016</v>
      </c>
      <c r="D104" s="473">
        <v>1278830.6199999999</v>
      </c>
      <c r="E104" s="480">
        <v>30524</v>
      </c>
      <c r="F104" s="573">
        <v>1248306.6199999999</v>
      </c>
      <c r="G104" s="479">
        <v>1263568.6199999999</v>
      </c>
      <c r="H104" s="539">
        <v>193417.89490142919</v>
      </c>
      <c r="I104" s="539">
        <v>193417.89490142919</v>
      </c>
      <c r="J104" s="478">
        <f t="shared" si="24"/>
        <v>0</v>
      </c>
      <c r="K104" s="478"/>
      <c r="L104" s="540">
        <f t="shared" si="25"/>
        <v>193417.89490142919</v>
      </c>
      <c r="M104" s="575">
        <f t="shared" si="31"/>
        <v>0</v>
      </c>
      <c r="N104" s="540">
        <f t="shared" si="27"/>
        <v>193417.89490142919</v>
      </c>
      <c r="O104" s="478">
        <f t="shared" si="32"/>
        <v>0</v>
      </c>
      <c r="P104" s="349">
        <f t="shared" si="33"/>
        <v>0</v>
      </c>
    </row>
    <row r="105" spans="1:16">
      <c r="B105" s="160" t="str">
        <f t="shared" si="30"/>
        <v/>
      </c>
      <c r="C105" s="472">
        <f>IF(D93="","-",+C104+1)</f>
        <v>2017</v>
      </c>
      <c r="D105" s="473">
        <v>1248306.6199999999</v>
      </c>
      <c r="E105" s="480">
        <v>30524</v>
      </c>
      <c r="F105" s="573">
        <v>1217782.6199999999</v>
      </c>
      <c r="G105" s="479">
        <v>1233044.6199999999</v>
      </c>
      <c r="H105" s="539">
        <v>186938.81917011391</v>
      </c>
      <c r="I105" s="539">
        <v>186938.81917011391</v>
      </c>
      <c r="J105" s="478">
        <f t="shared" si="24"/>
        <v>0</v>
      </c>
      <c r="K105" s="478"/>
      <c r="L105" s="540">
        <f>H105</f>
        <v>186938.81917011391</v>
      </c>
      <c r="M105" s="575">
        <f t="shared" si="31"/>
        <v>0</v>
      </c>
      <c r="N105" s="540">
        <f>I105</f>
        <v>186938.81917011391</v>
      </c>
      <c r="O105" s="478">
        <f t="shared" si="32"/>
        <v>0</v>
      </c>
      <c r="P105" s="349">
        <f t="shared" si="33"/>
        <v>0</v>
      </c>
    </row>
    <row r="106" spans="1:16">
      <c r="B106" s="160" t="str">
        <f t="shared" si="30"/>
        <v/>
      </c>
      <c r="C106" s="472">
        <f>IF(D93="","-",+C105+1)</f>
        <v>2018</v>
      </c>
      <c r="D106" s="473">
        <v>1217782.6199999999</v>
      </c>
      <c r="E106" s="480">
        <v>32653</v>
      </c>
      <c r="F106" s="573">
        <v>1185129.6199999999</v>
      </c>
      <c r="G106" s="479">
        <v>1201456.1199999999</v>
      </c>
      <c r="H106" s="539">
        <v>156085.27550586959</v>
      </c>
      <c r="I106" s="539">
        <v>156085.27550586959</v>
      </c>
      <c r="J106" s="478">
        <f t="shared" si="24"/>
        <v>0</v>
      </c>
      <c r="K106" s="478"/>
      <c r="L106" s="540">
        <f>H106</f>
        <v>156085.27550586959</v>
      </c>
      <c r="M106" s="575">
        <f t="shared" ref="M106" si="34">IF(L106&lt;&gt;0,+H106-L106,0)</f>
        <v>0</v>
      </c>
      <c r="N106" s="540">
        <f>I106</f>
        <v>156085.27550586959</v>
      </c>
      <c r="O106" s="478">
        <f t="shared" ref="O106" si="35">IF(N106&lt;&gt;0,+I106-N106,0)</f>
        <v>0</v>
      </c>
      <c r="P106" s="349">
        <f t="shared" ref="P106" si="36">+O106-M106</f>
        <v>0</v>
      </c>
    </row>
    <row r="107" spans="1:16">
      <c r="B107" s="160" t="str">
        <f t="shared" si="30"/>
        <v/>
      </c>
      <c r="C107" s="472">
        <f>IF(D93="","-",+C106+1)</f>
        <v>2019</v>
      </c>
      <c r="D107" s="473">
        <v>1185129.6199999999</v>
      </c>
      <c r="E107" s="480">
        <v>34246</v>
      </c>
      <c r="F107" s="573">
        <v>1150883.6199999999</v>
      </c>
      <c r="G107" s="479">
        <v>1168006.6199999999</v>
      </c>
      <c r="H107" s="539">
        <v>154683.86507702887</v>
      </c>
      <c r="I107" s="539">
        <v>154683.86507702887</v>
      </c>
      <c r="J107" s="478">
        <f t="shared" si="24"/>
        <v>0</v>
      </c>
      <c r="K107" s="478"/>
      <c r="L107" s="540">
        <f>H107</f>
        <v>154683.86507702887</v>
      </c>
      <c r="M107" s="575">
        <f t="shared" ref="M107" si="37">IF(L107&lt;&gt;0,+H107-L107,0)</f>
        <v>0</v>
      </c>
      <c r="N107" s="540">
        <f>I107</f>
        <v>154683.86507702887</v>
      </c>
      <c r="O107" s="478">
        <f t="shared" si="28"/>
        <v>0</v>
      </c>
      <c r="P107" s="475">
        <f t="shared" si="29"/>
        <v>0</v>
      </c>
    </row>
    <row r="108" spans="1:16">
      <c r="B108" s="160" t="str">
        <f t="shared" si="30"/>
        <v/>
      </c>
      <c r="C108" s="472">
        <f>IF(D93="","-",+C107+1)</f>
        <v>2020</v>
      </c>
      <c r="D108" s="473">
        <v>1150883.6199999999</v>
      </c>
      <c r="E108" s="480">
        <v>32653</v>
      </c>
      <c r="F108" s="573">
        <v>1118230.6199999999</v>
      </c>
      <c r="G108" s="479">
        <v>1134557.1199999999</v>
      </c>
      <c r="H108" s="539">
        <v>163464.31672839285</v>
      </c>
      <c r="I108" s="539">
        <v>163464.31672839285</v>
      </c>
      <c r="J108" s="478">
        <f t="shared" si="24"/>
        <v>0</v>
      </c>
      <c r="K108" s="478"/>
      <c r="L108" s="540">
        <f>H108</f>
        <v>163464.31672839285</v>
      </c>
      <c r="M108" s="575">
        <f t="shared" ref="M108" si="38">IF(L108&lt;&gt;0,+H108-L108,0)</f>
        <v>0</v>
      </c>
      <c r="N108" s="540">
        <f>I108</f>
        <v>163464.31672839285</v>
      </c>
      <c r="O108" s="478">
        <f t="shared" si="28"/>
        <v>0</v>
      </c>
      <c r="P108" s="475">
        <f t="shared" si="29"/>
        <v>0</v>
      </c>
    </row>
    <row r="109" spans="1:16">
      <c r="B109" s="160" t="str">
        <f t="shared" si="30"/>
        <v/>
      </c>
      <c r="C109" s="472">
        <f>IF(D93="","-",+C108+1)</f>
        <v>2021</v>
      </c>
      <c r="D109" s="347">
        <f>IF(F108+SUM(E$99:E108)=D$92,F108,D$92-SUM(E$99:E108))</f>
        <v>1118230.6199999999</v>
      </c>
      <c r="E109" s="486">
        <f>IF(+J96&lt;F108,J96,D109)</f>
        <v>34246</v>
      </c>
      <c r="F109" s="485">
        <f t="shared" ref="F109:F130" si="39">+D109-E109</f>
        <v>1083984.6199999999</v>
      </c>
      <c r="G109" s="485">
        <f t="shared" ref="G109:G130" si="40">+(F109+D109)/2</f>
        <v>1101107.6199999999</v>
      </c>
      <c r="H109" s="486">
        <f t="shared" ref="H109:H153" si="41">(D109+F109)/2*J$94+E109</f>
        <v>159544.11150802768</v>
      </c>
      <c r="I109" s="542">
        <f t="shared" ref="I109:I153" si="42">+J$95*G109+E109</f>
        <v>159544.11150802768</v>
      </c>
      <c r="J109" s="478">
        <f t="shared" si="24"/>
        <v>0</v>
      </c>
      <c r="K109" s="478"/>
      <c r="L109" s="487"/>
      <c r="M109" s="478">
        <f t="shared" si="26"/>
        <v>0</v>
      </c>
      <c r="N109" s="487"/>
      <c r="O109" s="478">
        <f t="shared" si="28"/>
        <v>0</v>
      </c>
      <c r="P109" s="478">
        <f t="shared" si="29"/>
        <v>0</v>
      </c>
    </row>
    <row r="110" spans="1:16">
      <c r="B110" s="160" t="str">
        <f t="shared" si="30"/>
        <v/>
      </c>
      <c r="C110" s="472">
        <f>IF(D93="","-",+C109+1)</f>
        <v>2022</v>
      </c>
      <c r="D110" s="347">
        <f>IF(F109+SUM(E$99:E109)=D$92,F109,D$92-SUM(E$99:E109))</f>
        <v>1083984.6199999999</v>
      </c>
      <c r="E110" s="486">
        <f>IF(+J96&lt;F109,J96,D110)</f>
        <v>34246</v>
      </c>
      <c r="F110" s="485">
        <f t="shared" si="39"/>
        <v>1049738.6199999999</v>
      </c>
      <c r="G110" s="485">
        <f t="shared" si="40"/>
        <v>1066861.6199999999</v>
      </c>
      <c r="H110" s="486">
        <f t="shared" si="41"/>
        <v>155647.16351787216</v>
      </c>
      <c r="I110" s="542">
        <f t="shared" si="42"/>
        <v>155647.16351787216</v>
      </c>
      <c r="J110" s="478">
        <f t="shared" si="24"/>
        <v>0</v>
      </c>
      <c r="K110" s="478"/>
      <c r="L110" s="487"/>
      <c r="M110" s="478">
        <f t="shared" si="26"/>
        <v>0</v>
      </c>
      <c r="N110" s="487"/>
      <c r="O110" s="478">
        <f t="shared" si="28"/>
        <v>0</v>
      </c>
      <c r="P110" s="478">
        <f t="shared" si="29"/>
        <v>0</v>
      </c>
    </row>
    <row r="111" spans="1:16">
      <c r="B111" s="160" t="str">
        <f t="shared" si="30"/>
        <v/>
      </c>
      <c r="C111" s="472">
        <f>IF(D93="","-",+C110+1)</f>
        <v>2023</v>
      </c>
      <c r="D111" s="347">
        <f>IF(F110+SUM(E$99:E110)=D$92,F110,D$92-SUM(E$99:E110))</f>
        <v>1049738.6199999999</v>
      </c>
      <c r="E111" s="486">
        <f>IF(+J96&lt;F110,J96,D111)</f>
        <v>34246</v>
      </c>
      <c r="F111" s="485">
        <f t="shared" si="39"/>
        <v>1015492.6199999999</v>
      </c>
      <c r="G111" s="485">
        <f t="shared" si="40"/>
        <v>1032615.6199999999</v>
      </c>
      <c r="H111" s="486">
        <f t="shared" si="41"/>
        <v>151750.21552771667</v>
      </c>
      <c r="I111" s="542">
        <f t="shared" si="42"/>
        <v>151750.21552771667</v>
      </c>
      <c r="J111" s="478">
        <f t="shared" si="24"/>
        <v>0</v>
      </c>
      <c r="K111" s="478"/>
      <c r="L111" s="487"/>
      <c r="M111" s="478">
        <f t="shared" si="26"/>
        <v>0</v>
      </c>
      <c r="N111" s="487"/>
      <c r="O111" s="478">
        <f t="shared" si="28"/>
        <v>0</v>
      </c>
      <c r="P111" s="478">
        <f t="shared" si="29"/>
        <v>0</v>
      </c>
    </row>
    <row r="112" spans="1:16">
      <c r="B112" s="160" t="str">
        <f t="shared" si="30"/>
        <v/>
      </c>
      <c r="C112" s="472">
        <f>IF(D93="","-",+C111+1)</f>
        <v>2024</v>
      </c>
      <c r="D112" s="347">
        <f>IF(F111+SUM(E$99:E111)=D$92,F111,D$92-SUM(E$99:E111))</f>
        <v>1015492.6199999999</v>
      </c>
      <c r="E112" s="486">
        <f>IF(+J96&lt;F111,J96,D112)</f>
        <v>34246</v>
      </c>
      <c r="F112" s="485">
        <f t="shared" si="39"/>
        <v>981246.61999999988</v>
      </c>
      <c r="G112" s="485">
        <f t="shared" si="40"/>
        <v>998369.61999999988</v>
      </c>
      <c r="H112" s="486">
        <f t="shared" si="41"/>
        <v>147853.26753756116</v>
      </c>
      <c r="I112" s="542">
        <f t="shared" si="42"/>
        <v>147853.26753756116</v>
      </c>
      <c r="J112" s="478">
        <f t="shared" si="24"/>
        <v>0</v>
      </c>
      <c r="K112" s="478"/>
      <c r="L112" s="487"/>
      <c r="M112" s="478">
        <f t="shared" si="26"/>
        <v>0</v>
      </c>
      <c r="N112" s="487"/>
      <c r="O112" s="478">
        <f t="shared" si="28"/>
        <v>0</v>
      </c>
      <c r="P112" s="478">
        <f t="shared" si="29"/>
        <v>0</v>
      </c>
    </row>
    <row r="113" spans="2:16">
      <c r="B113" s="160" t="str">
        <f t="shared" si="30"/>
        <v/>
      </c>
      <c r="C113" s="472">
        <f>IF(D93="","-",+C112+1)</f>
        <v>2025</v>
      </c>
      <c r="D113" s="347">
        <f>IF(F112+SUM(E$99:E112)=D$92,F112,D$92-SUM(E$99:E112))</f>
        <v>981246.61999999988</v>
      </c>
      <c r="E113" s="486">
        <f>IF(+J96&lt;F112,J96,D113)</f>
        <v>34246</v>
      </c>
      <c r="F113" s="485">
        <f t="shared" si="39"/>
        <v>947000.61999999988</v>
      </c>
      <c r="G113" s="485">
        <f t="shared" si="40"/>
        <v>964123.61999999988</v>
      </c>
      <c r="H113" s="486">
        <f t="shared" si="41"/>
        <v>143956.31954740564</v>
      </c>
      <c r="I113" s="542">
        <f t="shared" si="42"/>
        <v>143956.31954740564</v>
      </c>
      <c r="J113" s="478">
        <f t="shared" si="24"/>
        <v>0</v>
      </c>
      <c r="K113" s="478"/>
      <c r="L113" s="487"/>
      <c r="M113" s="478">
        <f t="shared" si="26"/>
        <v>0</v>
      </c>
      <c r="N113" s="487"/>
      <c r="O113" s="478">
        <f t="shared" si="28"/>
        <v>0</v>
      </c>
      <c r="P113" s="478">
        <f t="shared" si="29"/>
        <v>0</v>
      </c>
    </row>
    <row r="114" spans="2:16">
      <c r="B114" s="160" t="str">
        <f t="shared" si="30"/>
        <v/>
      </c>
      <c r="C114" s="472">
        <f>IF(D93="","-",+C113+1)</f>
        <v>2026</v>
      </c>
      <c r="D114" s="347">
        <f>IF(F113+SUM(E$99:E113)=D$92,F113,D$92-SUM(E$99:E113))</f>
        <v>947000.61999999988</v>
      </c>
      <c r="E114" s="486">
        <f>IF(+J96&lt;F113,J96,D114)</f>
        <v>34246</v>
      </c>
      <c r="F114" s="485">
        <f t="shared" si="39"/>
        <v>912754.61999999988</v>
      </c>
      <c r="G114" s="485">
        <f t="shared" si="40"/>
        <v>929877.61999999988</v>
      </c>
      <c r="H114" s="486">
        <f t="shared" si="41"/>
        <v>140059.37155725015</v>
      </c>
      <c r="I114" s="542">
        <f t="shared" si="42"/>
        <v>140059.37155725015</v>
      </c>
      <c r="J114" s="478">
        <f t="shared" si="24"/>
        <v>0</v>
      </c>
      <c r="K114" s="478"/>
      <c r="L114" s="487"/>
      <c r="M114" s="478">
        <f t="shared" si="26"/>
        <v>0</v>
      </c>
      <c r="N114" s="487"/>
      <c r="O114" s="478">
        <f t="shared" si="28"/>
        <v>0</v>
      </c>
      <c r="P114" s="478">
        <f t="shared" si="29"/>
        <v>0</v>
      </c>
    </row>
    <row r="115" spans="2:16">
      <c r="B115" s="160" t="str">
        <f t="shared" si="30"/>
        <v/>
      </c>
      <c r="C115" s="472">
        <f>IF(D93="","-",+C114+1)</f>
        <v>2027</v>
      </c>
      <c r="D115" s="347">
        <f>IF(F114+SUM(E$99:E114)=D$92,F114,D$92-SUM(E$99:E114))</f>
        <v>912754.61999999988</v>
      </c>
      <c r="E115" s="486">
        <f>IF(+J96&lt;F114,J96,D115)</f>
        <v>34246</v>
      </c>
      <c r="F115" s="485">
        <f t="shared" si="39"/>
        <v>878508.61999999988</v>
      </c>
      <c r="G115" s="485">
        <f t="shared" si="40"/>
        <v>895631.61999999988</v>
      </c>
      <c r="H115" s="486">
        <f t="shared" si="41"/>
        <v>136162.42356709461</v>
      </c>
      <c r="I115" s="542">
        <f t="shared" si="42"/>
        <v>136162.42356709461</v>
      </c>
      <c r="J115" s="478">
        <f t="shared" si="24"/>
        <v>0</v>
      </c>
      <c r="K115" s="478"/>
      <c r="L115" s="487"/>
      <c r="M115" s="478">
        <f t="shared" si="26"/>
        <v>0</v>
      </c>
      <c r="N115" s="487"/>
      <c r="O115" s="478">
        <f t="shared" si="28"/>
        <v>0</v>
      </c>
      <c r="P115" s="478">
        <f t="shared" si="29"/>
        <v>0</v>
      </c>
    </row>
    <row r="116" spans="2:16">
      <c r="B116" s="160" t="str">
        <f t="shared" si="30"/>
        <v/>
      </c>
      <c r="C116" s="472">
        <f>IF(D93="","-",+C115+1)</f>
        <v>2028</v>
      </c>
      <c r="D116" s="347">
        <f>IF(F115+SUM(E$99:E115)=D$92,F115,D$92-SUM(E$99:E115))</f>
        <v>878508.61999999988</v>
      </c>
      <c r="E116" s="486">
        <f>IF(+J96&lt;F115,J96,D116)</f>
        <v>34246</v>
      </c>
      <c r="F116" s="485">
        <f t="shared" si="39"/>
        <v>844262.61999999988</v>
      </c>
      <c r="G116" s="485">
        <f t="shared" si="40"/>
        <v>861385.61999999988</v>
      </c>
      <c r="H116" s="486">
        <f t="shared" si="41"/>
        <v>132265.47557693912</v>
      </c>
      <c r="I116" s="542">
        <f t="shared" si="42"/>
        <v>132265.47557693912</v>
      </c>
      <c r="J116" s="478">
        <f t="shared" si="24"/>
        <v>0</v>
      </c>
      <c r="K116" s="478"/>
      <c r="L116" s="487"/>
      <c r="M116" s="478">
        <f t="shared" si="26"/>
        <v>0</v>
      </c>
      <c r="N116" s="487"/>
      <c r="O116" s="478">
        <f t="shared" si="28"/>
        <v>0</v>
      </c>
      <c r="P116" s="478">
        <f t="shared" si="29"/>
        <v>0</v>
      </c>
    </row>
    <row r="117" spans="2:16">
      <c r="B117" s="160" t="str">
        <f t="shared" si="30"/>
        <v/>
      </c>
      <c r="C117" s="472">
        <f>IF(D93="","-",+C116+1)</f>
        <v>2029</v>
      </c>
      <c r="D117" s="347">
        <f>IF(F116+SUM(E$99:E116)=D$92,F116,D$92-SUM(E$99:E116))</f>
        <v>844262.61999999988</v>
      </c>
      <c r="E117" s="486">
        <f>IF(+J96&lt;F116,J96,D117)</f>
        <v>34246</v>
      </c>
      <c r="F117" s="485">
        <f t="shared" si="39"/>
        <v>810016.61999999988</v>
      </c>
      <c r="G117" s="485">
        <f t="shared" si="40"/>
        <v>827139.61999999988</v>
      </c>
      <c r="H117" s="486">
        <f t="shared" si="41"/>
        <v>128368.5275867836</v>
      </c>
      <c r="I117" s="542">
        <f t="shared" si="42"/>
        <v>128368.5275867836</v>
      </c>
      <c r="J117" s="478">
        <f t="shared" si="24"/>
        <v>0</v>
      </c>
      <c r="K117" s="478"/>
      <c r="L117" s="487"/>
      <c r="M117" s="478">
        <f t="shared" si="26"/>
        <v>0</v>
      </c>
      <c r="N117" s="487"/>
      <c r="O117" s="478">
        <f t="shared" si="28"/>
        <v>0</v>
      </c>
      <c r="P117" s="478">
        <f t="shared" si="29"/>
        <v>0</v>
      </c>
    </row>
    <row r="118" spans="2:16">
      <c r="B118" s="160" t="str">
        <f t="shared" si="30"/>
        <v/>
      </c>
      <c r="C118" s="472">
        <f>IF(D93="","-",+C117+1)</f>
        <v>2030</v>
      </c>
      <c r="D118" s="347">
        <f>IF(F117+SUM(E$99:E117)=D$92,F117,D$92-SUM(E$99:E117))</f>
        <v>810016.61999999988</v>
      </c>
      <c r="E118" s="486">
        <f>IF(+J96&lt;F117,J96,D118)</f>
        <v>34246</v>
      </c>
      <c r="F118" s="485">
        <f t="shared" si="39"/>
        <v>775770.61999999988</v>
      </c>
      <c r="G118" s="485">
        <f t="shared" si="40"/>
        <v>792893.61999999988</v>
      </c>
      <c r="H118" s="486">
        <f t="shared" si="41"/>
        <v>124471.5795966281</v>
      </c>
      <c r="I118" s="542">
        <f t="shared" si="42"/>
        <v>124471.5795966281</v>
      </c>
      <c r="J118" s="478">
        <f t="shared" si="24"/>
        <v>0</v>
      </c>
      <c r="K118" s="478"/>
      <c r="L118" s="487"/>
      <c r="M118" s="478">
        <f t="shared" si="26"/>
        <v>0</v>
      </c>
      <c r="N118" s="487"/>
      <c r="O118" s="478">
        <f t="shared" si="28"/>
        <v>0</v>
      </c>
      <c r="P118" s="478">
        <f t="shared" si="29"/>
        <v>0</v>
      </c>
    </row>
    <row r="119" spans="2:16">
      <c r="B119" s="160" t="str">
        <f t="shared" si="30"/>
        <v/>
      </c>
      <c r="C119" s="472">
        <f>IF(D93="","-",+C118+1)</f>
        <v>2031</v>
      </c>
      <c r="D119" s="347">
        <f>IF(F118+SUM(E$99:E118)=D$92,F118,D$92-SUM(E$99:E118))</f>
        <v>775770.61999999988</v>
      </c>
      <c r="E119" s="486">
        <f>IF(+J96&lt;F118,J96,D119)</f>
        <v>34246</v>
      </c>
      <c r="F119" s="485">
        <f t="shared" si="39"/>
        <v>741524.61999999988</v>
      </c>
      <c r="G119" s="485">
        <f t="shared" si="40"/>
        <v>758647.61999999988</v>
      </c>
      <c r="H119" s="486">
        <f t="shared" si="41"/>
        <v>120574.63160647258</v>
      </c>
      <c r="I119" s="542">
        <f t="shared" si="42"/>
        <v>120574.63160647258</v>
      </c>
      <c r="J119" s="478">
        <f t="shared" si="24"/>
        <v>0</v>
      </c>
      <c r="K119" s="478"/>
      <c r="L119" s="487"/>
      <c r="M119" s="478">
        <f t="shared" si="26"/>
        <v>0</v>
      </c>
      <c r="N119" s="487"/>
      <c r="O119" s="478">
        <f t="shared" si="28"/>
        <v>0</v>
      </c>
      <c r="P119" s="478">
        <f t="shared" si="29"/>
        <v>0</v>
      </c>
    </row>
    <row r="120" spans="2:16">
      <c r="B120" s="160" t="str">
        <f t="shared" si="30"/>
        <v/>
      </c>
      <c r="C120" s="472">
        <f>IF(D93="","-",+C119+1)</f>
        <v>2032</v>
      </c>
      <c r="D120" s="347">
        <f>IF(F119+SUM(E$99:E119)=D$92,F119,D$92-SUM(E$99:E119))</f>
        <v>741524.61999999988</v>
      </c>
      <c r="E120" s="486">
        <f>IF(+J96&lt;F119,J96,D120)</f>
        <v>34246</v>
      </c>
      <c r="F120" s="485">
        <f t="shared" si="39"/>
        <v>707278.61999999988</v>
      </c>
      <c r="G120" s="485">
        <f t="shared" si="40"/>
        <v>724401.61999999988</v>
      </c>
      <c r="H120" s="486">
        <f t="shared" si="41"/>
        <v>116677.68361631708</v>
      </c>
      <c r="I120" s="542">
        <f t="shared" si="42"/>
        <v>116677.68361631708</v>
      </c>
      <c r="J120" s="478">
        <f t="shared" si="24"/>
        <v>0</v>
      </c>
      <c r="K120" s="478"/>
      <c r="L120" s="487"/>
      <c r="M120" s="478">
        <f t="shared" si="26"/>
        <v>0</v>
      </c>
      <c r="N120" s="487"/>
      <c r="O120" s="478">
        <f t="shared" si="28"/>
        <v>0</v>
      </c>
      <c r="P120" s="478">
        <f t="shared" si="29"/>
        <v>0</v>
      </c>
    </row>
    <row r="121" spans="2:16">
      <c r="B121" s="160" t="str">
        <f t="shared" si="30"/>
        <v/>
      </c>
      <c r="C121" s="472">
        <f>IF(D93="","-",+C120+1)</f>
        <v>2033</v>
      </c>
      <c r="D121" s="347">
        <f>IF(F120+SUM(E$99:E120)=D$92,F120,D$92-SUM(E$99:E120))</f>
        <v>707278.61999999988</v>
      </c>
      <c r="E121" s="486">
        <f>IF(+J96&lt;F120,J96,D121)</f>
        <v>34246</v>
      </c>
      <c r="F121" s="485">
        <f t="shared" si="39"/>
        <v>673032.61999999988</v>
      </c>
      <c r="G121" s="485">
        <f t="shared" si="40"/>
        <v>690155.61999999988</v>
      </c>
      <c r="H121" s="486">
        <f t="shared" si="41"/>
        <v>112780.73562616156</v>
      </c>
      <c r="I121" s="542">
        <f t="shared" si="42"/>
        <v>112780.73562616156</v>
      </c>
      <c r="J121" s="478">
        <f t="shared" si="24"/>
        <v>0</v>
      </c>
      <c r="K121" s="478"/>
      <c r="L121" s="487"/>
      <c r="M121" s="478">
        <f t="shared" si="26"/>
        <v>0</v>
      </c>
      <c r="N121" s="487"/>
      <c r="O121" s="478">
        <f t="shared" si="28"/>
        <v>0</v>
      </c>
      <c r="P121" s="478">
        <f t="shared" si="29"/>
        <v>0</v>
      </c>
    </row>
    <row r="122" spans="2:16">
      <c r="B122" s="160" t="str">
        <f t="shared" si="30"/>
        <v/>
      </c>
      <c r="C122" s="472">
        <f>IF(D93="","-",+C121+1)</f>
        <v>2034</v>
      </c>
      <c r="D122" s="347">
        <f>IF(F121+SUM(E$99:E121)=D$92,F121,D$92-SUM(E$99:E121))</f>
        <v>673032.61999999988</v>
      </c>
      <c r="E122" s="486">
        <f>IF(+J96&lt;F121,J96,D122)</f>
        <v>34246</v>
      </c>
      <c r="F122" s="485">
        <f t="shared" si="39"/>
        <v>638786.61999999988</v>
      </c>
      <c r="G122" s="485">
        <f t="shared" si="40"/>
        <v>655909.61999999988</v>
      </c>
      <c r="H122" s="486">
        <f t="shared" si="41"/>
        <v>108883.78763600606</v>
      </c>
      <c r="I122" s="542">
        <f t="shared" si="42"/>
        <v>108883.78763600606</v>
      </c>
      <c r="J122" s="478">
        <f t="shared" si="24"/>
        <v>0</v>
      </c>
      <c r="K122" s="478"/>
      <c r="L122" s="487"/>
      <c r="M122" s="478">
        <f t="shared" si="26"/>
        <v>0</v>
      </c>
      <c r="N122" s="487"/>
      <c r="O122" s="478">
        <f t="shared" si="28"/>
        <v>0</v>
      </c>
      <c r="P122" s="478">
        <f t="shared" si="29"/>
        <v>0</v>
      </c>
    </row>
    <row r="123" spans="2:16">
      <c r="B123" s="160" t="str">
        <f t="shared" si="30"/>
        <v/>
      </c>
      <c r="C123" s="472">
        <f>IF(D93="","-",+C122+1)</f>
        <v>2035</v>
      </c>
      <c r="D123" s="347">
        <f>IF(F122+SUM(E$99:E122)=D$92,F122,D$92-SUM(E$99:E122))</f>
        <v>638786.61999999988</v>
      </c>
      <c r="E123" s="486">
        <f>IF(+J96&lt;F122,J96,D123)</f>
        <v>34246</v>
      </c>
      <c r="F123" s="485">
        <f t="shared" si="39"/>
        <v>604540.61999999988</v>
      </c>
      <c r="G123" s="485">
        <f t="shared" si="40"/>
        <v>621663.61999999988</v>
      </c>
      <c r="H123" s="486">
        <f t="shared" si="41"/>
        <v>104986.83964585054</v>
      </c>
      <c r="I123" s="542">
        <f t="shared" si="42"/>
        <v>104986.83964585054</v>
      </c>
      <c r="J123" s="478">
        <f t="shared" si="24"/>
        <v>0</v>
      </c>
      <c r="K123" s="478"/>
      <c r="L123" s="487"/>
      <c r="M123" s="478">
        <f t="shared" si="26"/>
        <v>0</v>
      </c>
      <c r="N123" s="487"/>
      <c r="O123" s="478">
        <f t="shared" si="28"/>
        <v>0</v>
      </c>
      <c r="P123" s="478">
        <f t="shared" si="29"/>
        <v>0</v>
      </c>
    </row>
    <row r="124" spans="2:16">
      <c r="B124" s="160" t="str">
        <f t="shared" si="30"/>
        <v/>
      </c>
      <c r="C124" s="472">
        <f>IF(D93="","-",+C123+1)</f>
        <v>2036</v>
      </c>
      <c r="D124" s="347">
        <f>IF(F123+SUM(E$99:E123)=D$92,F123,D$92-SUM(E$99:E123))</f>
        <v>604540.61999999988</v>
      </c>
      <c r="E124" s="486">
        <f>IF(+J96&lt;F123,J96,D124)</f>
        <v>34246</v>
      </c>
      <c r="F124" s="485">
        <f t="shared" si="39"/>
        <v>570294.61999999988</v>
      </c>
      <c r="G124" s="485">
        <f t="shared" si="40"/>
        <v>587417.61999999988</v>
      </c>
      <c r="H124" s="486">
        <f t="shared" si="41"/>
        <v>101089.89165569504</v>
      </c>
      <c r="I124" s="542">
        <f t="shared" si="42"/>
        <v>101089.89165569504</v>
      </c>
      <c r="J124" s="478">
        <f t="shared" si="24"/>
        <v>0</v>
      </c>
      <c r="K124" s="478"/>
      <c r="L124" s="487"/>
      <c r="M124" s="478">
        <f t="shared" si="26"/>
        <v>0</v>
      </c>
      <c r="N124" s="487"/>
      <c r="O124" s="478">
        <f t="shared" si="28"/>
        <v>0</v>
      </c>
      <c r="P124" s="478">
        <f t="shared" si="29"/>
        <v>0</v>
      </c>
    </row>
    <row r="125" spans="2:16">
      <c r="B125" s="160" t="str">
        <f t="shared" si="30"/>
        <v/>
      </c>
      <c r="C125" s="472">
        <f>IF(D93="","-",+C124+1)</f>
        <v>2037</v>
      </c>
      <c r="D125" s="347">
        <f>IF(F124+SUM(E$99:E124)=D$92,F124,D$92-SUM(E$99:E124))</f>
        <v>570294.61999999988</v>
      </c>
      <c r="E125" s="486">
        <f>IF(+J96&lt;F124,J96,D125)</f>
        <v>34246</v>
      </c>
      <c r="F125" s="485">
        <f t="shared" si="39"/>
        <v>536048.61999999988</v>
      </c>
      <c r="G125" s="485">
        <f t="shared" si="40"/>
        <v>553171.61999999988</v>
      </c>
      <c r="H125" s="486">
        <f t="shared" si="41"/>
        <v>97192.943665539526</v>
      </c>
      <c r="I125" s="542">
        <f t="shared" si="42"/>
        <v>97192.943665539526</v>
      </c>
      <c r="J125" s="478">
        <f t="shared" si="24"/>
        <v>0</v>
      </c>
      <c r="K125" s="478"/>
      <c r="L125" s="487"/>
      <c r="M125" s="478">
        <f t="shared" si="26"/>
        <v>0</v>
      </c>
      <c r="N125" s="487"/>
      <c r="O125" s="478">
        <f t="shared" si="28"/>
        <v>0</v>
      </c>
      <c r="P125" s="478">
        <f t="shared" si="29"/>
        <v>0</v>
      </c>
    </row>
    <row r="126" spans="2:16">
      <c r="B126" s="160" t="str">
        <f t="shared" si="30"/>
        <v/>
      </c>
      <c r="C126" s="472">
        <f>IF(D93="","-",+C125+1)</f>
        <v>2038</v>
      </c>
      <c r="D126" s="347">
        <f>IF(F125+SUM(E$99:E125)=D$92,F125,D$92-SUM(E$99:E125))</f>
        <v>536048.61999999988</v>
      </c>
      <c r="E126" s="486">
        <f>IF(+J96&lt;F125,J96,D126)</f>
        <v>34246</v>
      </c>
      <c r="F126" s="485">
        <f t="shared" si="39"/>
        <v>501802.61999999988</v>
      </c>
      <c r="G126" s="485">
        <f t="shared" si="40"/>
        <v>518925.61999999988</v>
      </c>
      <c r="H126" s="486">
        <f t="shared" si="41"/>
        <v>93295.995675384023</v>
      </c>
      <c r="I126" s="542">
        <f t="shared" si="42"/>
        <v>93295.995675384023</v>
      </c>
      <c r="J126" s="478">
        <f t="shared" si="24"/>
        <v>0</v>
      </c>
      <c r="K126" s="478"/>
      <c r="L126" s="487"/>
      <c r="M126" s="478">
        <f t="shared" si="26"/>
        <v>0</v>
      </c>
      <c r="N126" s="487"/>
      <c r="O126" s="478">
        <f t="shared" si="28"/>
        <v>0</v>
      </c>
      <c r="P126" s="478">
        <f t="shared" si="29"/>
        <v>0</v>
      </c>
    </row>
    <row r="127" spans="2:16">
      <c r="B127" s="160" t="str">
        <f t="shared" si="30"/>
        <v/>
      </c>
      <c r="C127" s="472">
        <f>IF(D93="","-",+C126+1)</f>
        <v>2039</v>
      </c>
      <c r="D127" s="347">
        <f>IF(F126+SUM(E$99:E126)=D$92,F126,D$92-SUM(E$99:E126))</f>
        <v>501802.61999999988</v>
      </c>
      <c r="E127" s="486">
        <f>IF(+J96&lt;F126,J96,D127)</f>
        <v>34246</v>
      </c>
      <c r="F127" s="485">
        <f t="shared" si="39"/>
        <v>467556.61999999988</v>
      </c>
      <c r="G127" s="485">
        <f t="shared" si="40"/>
        <v>484679.61999999988</v>
      </c>
      <c r="H127" s="486">
        <f t="shared" si="41"/>
        <v>89399.047685228521</v>
      </c>
      <c r="I127" s="542">
        <f t="shared" si="42"/>
        <v>89399.047685228521</v>
      </c>
      <c r="J127" s="478">
        <f t="shared" si="24"/>
        <v>0</v>
      </c>
      <c r="K127" s="478"/>
      <c r="L127" s="487"/>
      <c r="M127" s="478">
        <f t="shared" si="26"/>
        <v>0</v>
      </c>
      <c r="N127" s="487"/>
      <c r="O127" s="478">
        <f t="shared" si="28"/>
        <v>0</v>
      </c>
      <c r="P127" s="478">
        <f t="shared" si="29"/>
        <v>0</v>
      </c>
    </row>
    <row r="128" spans="2:16">
      <c r="B128" s="160" t="str">
        <f t="shared" si="30"/>
        <v/>
      </c>
      <c r="C128" s="472">
        <f>IF(D93="","-",+C127+1)</f>
        <v>2040</v>
      </c>
      <c r="D128" s="347">
        <f>IF(F127+SUM(E$99:E127)=D$92,F127,D$92-SUM(E$99:E127))</f>
        <v>467556.61999999988</v>
      </c>
      <c r="E128" s="486">
        <f>IF(+J96&lt;F127,J96,D128)</f>
        <v>34246</v>
      </c>
      <c r="F128" s="485">
        <f t="shared" si="39"/>
        <v>433310.61999999988</v>
      </c>
      <c r="G128" s="485">
        <f t="shared" si="40"/>
        <v>450433.61999999988</v>
      </c>
      <c r="H128" s="486">
        <f t="shared" si="41"/>
        <v>85502.099695073004</v>
      </c>
      <c r="I128" s="542">
        <f t="shared" si="42"/>
        <v>85502.099695073004</v>
      </c>
      <c r="J128" s="478">
        <f t="shared" si="24"/>
        <v>0</v>
      </c>
      <c r="K128" s="478"/>
      <c r="L128" s="487"/>
      <c r="M128" s="478">
        <f t="shared" si="26"/>
        <v>0</v>
      </c>
      <c r="N128" s="487"/>
      <c r="O128" s="478">
        <f t="shared" si="28"/>
        <v>0</v>
      </c>
      <c r="P128" s="478">
        <f t="shared" si="29"/>
        <v>0</v>
      </c>
    </row>
    <row r="129" spans="2:16">
      <c r="B129" s="160" t="str">
        <f t="shared" si="30"/>
        <v/>
      </c>
      <c r="C129" s="472">
        <f>IF(D93="","-",+C128+1)</f>
        <v>2041</v>
      </c>
      <c r="D129" s="347">
        <f>IF(F128+SUM(E$99:E128)=D$92,F128,D$92-SUM(E$99:E128))</f>
        <v>433310.61999999988</v>
      </c>
      <c r="E129" s="486">
        <f t="shared" ref="E129:E154" si="43">IF(+J$96&lt;F128,J$96,D129)</f>
        <v>34246</v>
      </c>
      <c r="F129" s="485">
        <f t="shared" si="39"/>
        <v>399064.61999999988</v>
      </c>
      <c r="G129" s="485">
        <f t="shared" si="40"/>
        <v>416187.61999999988</v>
      </c>
      <c r="H129" s="486">
        <f t="shared" si="41"/>
        <v>81605.151704917487</v>
      </c>
      <c r="I129" s="542">
        <f t="shared" si="42"/>
        <v>81605.151704917487</v>
      </c>
      <c r="J129" s="478">
        <f t="shared" si="24"/>
        <v>0</v>
      </c>
      <c r="K129" s="478"/>
      <c r="L129" s="487"/>
      <c r="M129" s="478">
        <f t="shared" si="26"/>
        <v>0</v>
      </c>
      <c r="N129" s="487"/>
      <c r="O129" s="478">
        <f t="shared" si="28"/>
        <v>0</v>
      </c>
      <c r="P129" s="478">
        <f t="shared" si="29"/>
        <v>0</v>
      </c>
    </row>
    <row r="130" spans="2:16">
      <c r="B130" s="160" t="str">
        <f t="shared" si="30"/>
        <v/>
      </c>
      <c r="C130" s="472">
        <f>IF(D93="","-",+C129+1)</f>
        <v>2042</v>
      </c>
      <c r="D130" s="347">
        <f>IF(F129+SUM(E$99:E129)=D$92,F129,D$92-SUM(E$99:E129))</f>
        <v>399064.61999999988</v>
      </c>
      <c r="E130" s="486">
        <f t="shared" si="43"/>
        <v>34246</v>
      </c>
      <c r="F130" s="485">
        <f t="shared" si="39"/>
        <v>364818.61999999988</v>
      </c>
      <c r="G130" s="485">
        <f t="shared" si="40"/>
        <v>381941.61999999988</v>
      </c>
      <c r="H130" s="486">
        <f t="shared" si="41"/>
        <v>77708.203714761985</v>
      </c>
      <c r="I130" s="542">
        <f t="shared" si="42"/>
        <v>77708.203714761985</v>
      </c>
      <c r="J130" s="478">
        <f t="shared" si="24"/>
        <v>0</v>
      </c>
      <c r="K130" s="478"/>
      <c r="L130" s="487"/>
      <c r="M130" s="478">
        <f t="shared" si="26"/>
        <v>0</v>
      </c>
      <c r="N130" s="487"/>
      <c r="O130" s="478">
        <f t="shared" si="28"/>
        <v>0</v>
      </c>
      <c r="P130" s="478">
        <f t="shared" si="29"/>
        <v>0</v>
      </c>
    </row>
    <row r="131" spans="2:16">
      <c r="B131" s="160" t="str">
        <f t="shared" si="30"/>
        <v/>
      </c>
      <c r="C131" s="472">
        <f>IF(D93="","-",+C130+1)</f>
        <v>2043</v>
      </c>
      <c r="D131" s="347">
        <f>IF(F130+SUM(E$99:E130)=D$92,F130,D$92-SUM(E$99:E130))</f>
        <v>364818.61999999988</v>
      </c>
      <c r="E131" s="486">
        <f t="shared" si="43"/>
        <v>34246</v>
      </c>
      <c r="F131" s="485">
        <f t="shared" ref="F131:F154" si="44">+D131-E131</f>
        <v>330572.61999999988</v>
      </c>
      <c r="G131" s="485">
        <f t="shared" ref="G131:G154" si="45">+(F131+D131)/2</f>
        <v>347695.61999999988</v>
      </c>
      <c r="H131" s="486">
        <f t="shared" si="41"/>
        <v>73811.255724606483</v>
      </c>
      <c r="I131" s="542">
        <f t="shared" si="42"/>
        <v>73811.255724606483</v>
      </c>
      <c r="J131" s="478">
        <f t="shared" ref="J131:J154" si="46">+I541-H541</f>
        <v>0</v>
      </c>
      <c r="K131" s="478"/>
      <c r="L131" s="487"/>
      <c r="M131" s="478">
        <f t="shared" ref="M131:M154" si="47">IF(L541&lt;&gt;0,+H541-L541,0)</f>
        <v>0</v>
      </c>
      <c r="N131" s="487"/>
      <c r="O131" s="478">
        <f t="shared" ref="O131:O154" si="48">IF(N541&lt;&gt;0,+I541-N541,0)</f>
        <v>0</v>
      </c>
      <c r="P131" s="478">
        <f t="shared" ref="P131:P154" si="49">+O541-M541</f>
        <v>0</v>
      </c>
    </row>
    <row r="132" spans="2:16">
      <c r="B132" s="160" t="str">
        <f t="shared" ref="B132:B154" si="50">IF(D132=F131,"","IU")</f>
        <v/>
      </c>
      <c r="C132" s="472">
        <f>IF(D93="","-",+C131+1)</f>
        <v>2044</v>
      </c>
      <c r="D132" s="347">
        <f>IF(F131+SUM(E$99:E131)=D$92,F131,D$92-SUM(E$99:E131))</f>
        <v>330572.61999999988</v>
      </c>
      <c r="E132" s="486">
        <f t="shared" si="43"/>
        <v>34246</v>
      </c>
      <c r="F132" s="485">
        <f t="shared" si="44"/>
        <v>296326.61999999988</v>
      </c>
      <c r="G132" s="485">
        <f t="shared" si="45"/>
        <v>313449.61999999988</v>
      </c>
      <c r="H132" s="486">
        <f t="shared" si="41"/>
        <v>69914.307734450966</v>
      </c>
      <c r="I132" s="542">
        <f t="shared" si="42"/>
        <v>69914.307734450966</v>
      </c>
      <c r="J132" s="478">
        <f t="shared" si="46"/>
        <v>0</v>
      </c>
      <c r="K132" s="478"/>
      <c r="L132" s="487"/>
      <c r="M132" s="478">
        <f t="shared" si="47"/>
        <v>0</v>
      </c>
      <c r="N132" s="487"/>
      <c r="O132" s="478">
        <f t="shared" si="48"/>
        <v>0</v>
      </c>
      <c r="P132" s="478">
        <f t="shared" si="49"/>
        <v>0</v>
      </c>
    </row>
    <row r="133" spans="2:16">
      <c r="B133" s="160" t="str">
        <f t="shared" si="50"/>
        <v/>
      </c>
      <c r="C133" s="472">
        <f>IF(D93="","-",+C132+1)</f>
        <v>2045</v>
      </c>
      <c r="D133" s="347">
        <f>IF(F132+SUM(E$99:E132)=D$92,F132,D$92-SUM(E$99:E132))</f>
        <v>296326.61999999988</v>
      </c>
      <c r="E133" s="486">
        <f t="shared" si="43"/>
        <v>34246</v>
      </c>
      <c r="F133" s="485">
        <f t="shared" si="44"/>
        <v>262080.61999999988</v>
      </c>
      <c r="G133" s="485">
        <f t="shared" si="45"/>
        <v>279203.61999999988</v>
      </c>
      <c r="H133" s="486">
        <f t="shared" si="41"/>
        <v>66017.359744295449</v>
      </c>
      <c r="I133" s="542">
        <f t="shared" si="42"/>
        <v>66017.359744295449</v>
      </c>
      <c r="J133" s="478">
        <f t="shared" si="46"/>
        <v>0</v>
      </c>
      <c r="K133" s="478"/>
      <c r="L133" s="487"/>
      <c r="M133" s="478">
        <f t="shared" si="47"/>
        <v>0</v>
      </c>
      <c r="N133" s="487"/>
      <c r="O133" s="478">
        <f t="shared" si="48"/>
        <v>0</v>
      </c>
      <c r="P133" s="478">
        <f t="shared" si="49"/>
        <v>0</v>
      </c>
    </row>
    <row r="134" spans="2:16">
      <c r="B134" s="160" t="str">
        <f t="shared" si="50"/>
        <v/>
      </c>
      <c r="C134" s="472">
        <f>IF(D93="","-",+C133+1)</f>
        <v>2046</v>
      </c>
      <c r="D134" s="347">
        <f>IF(F133+SUM(E$99:E133)=D$92,F133,D$92-SUM(E$99:E133))</f>
        <v>262080.61999999988</v>
      </c>
      <c r="E134" s="486">
        <f t="shared" si="43"/>
        <v>34246</v>
      </c>
      <c r="F134" s="485">
        <f t="shared" si="44"/>
        <v>227834.61999999988</v>
      </c>
      <c r="G134" s="485">
        <f t="shared" si="45"/>
        <v>244957.61999999988</v>
      </c>
      <c r="H134" s="486">
        <f t="shared" si="41"/>
        <v>62120.411754139946</v>
      </c>
      <c r="I134" s="542">
        <f t="shared" si="42"/>
        <v>62120.411754139946</v>
      </c>
      <c r="J134" s="478">
        <f t="shared" si="46"/>
        <v>0</v>
      </c>
      <c r="K134" s="478"/>
      <c r="L134" s="487"/>
      <c r="M134" s="478">
        <f t="shared" si="47"/>
        <v>0</v>
      </c>
      <c r="N134" s="487"/>
      <c r="O134" s="478">
        <f t="shared" si="48"/>
        <v>0</v>
      </c>
      <c r="P134" s="478">
        <f t="shared" si="49"/>
        <v>0</v>
      </c>
    </row>
    <row r="135" spans="2:16">
      <c r="B135" s="160" t="str">
        <f t="shared" si="50"/>
        <v/>
      </c>
      <c r="C135" s="472">
        <f>IF(D93="","-",+C134+1)</f>
        <v>2047</v>
      </c>
      <c r="D135" s="347">
        <f>IF(F134+SUM(E$99:E134)=D$92,F134,D$92-SUM(E$99:E134))</f>
        <v>227834.61999999988</v>
      </c>
      <c r="E135" s="486">
        <f t="shared" si="43"/>
        <v>34246</v>
      </c>
      <c r="F135" s="485">
        <f t="shared" si="44"/>
        <v>193588.61999999988</v>
      </c>
      <c r="G135" s="485">
        <f t="shared" si="45"/>
        <v>210711.61999999988</v>
      </c>
      <c r="H135" s="486">
        <f t="shared" si="41"/>
        <v>58223.463763984437</v>
      </c>
      <c r="I135" s="542">
        <f t="shared" si="42"/>
        <v>58223.463763984437</v>
      </c>
      <c r="J135" s="478">
        <f t="shared" si="46"/>
        <v>0</v>
      </c>
      <c r="K135" s="478"/>
      <c r="L135" s="487"/>
      <c r="M135" s="478">
        <f t="shared" si="47"/>
        <v>0</v>
      </c>
      <c r="N135" s="487"/>
      <c r="O135" s="478">
        <f t="shared" si="48"/>
        <v>0</v>
      </c>
      <c r="P135" s="478">
        <f t="shared" si="49"/>
        <v>0</v>
      </c>
    </row>
    <row r="136" spans="2:16">
      <c r="B136" s="160" t="str">
        <f t="shared" si="50"/>
        <v/>
      </c>
      <c r="C136" s="472">
        <f>IF(D93="","-",+C135+1)</f>
        <v>2048</v>
      </c>
      <c r="D136" s="347">
        <f>IF(F135+SUM(E$99:E135)=D$92,F135,D$92-SUM(E$99:E135))</f>
        <v>193588.61999999988</v>
      </c>
      <c r="E136" s="486">
        <f t="shared" si="43"/>
        <v>34246</v>
      </c>
      <c r="F136" s="485">
        <f t="shared" si="44"/>
        <v>159342.61999999988</v>
      </c>
      <c r="G136" s="485">
        <f t="shared" si="45"/>
        <v>176465.61999999988</v>
      </c>
      <c r="H136" s="486">
        <f t="shared" si="41"/>
        <v>54326.515773828927</v>
      </c>
      <c r="I136" s="542">
        <f t="shared" si="42"/>
        <v>54326.515773828927</v>
      </c>
      <c r="J136" s="478">
        <f t="shared" si="46"/>
        <v>0</v>
      </c>
      <c r="K136" s="478"/>
      <c r="L136" s="487"/>
      <c r="M136" s="478">
        <f t="shared" si="47"/>
        <v>0</v>
      </c>
      <c r="N136" s="487"/>
      <c r="O136" s="478">
        <f t="shared" si="48"/>
        <v>0</v>
      </c>
      <c r="P136" s="478">
        <f t="shared" si="49"/>
        <v>0</v>
      </c>
    </row>
    <row r="137" spans="2:16">
      <c r="B137" s="160" t="str">
        <f t="shared" si="50"/>
        <v/>
      </c>
      <c r="C137" s="472">
        <f>IF(D93="","-",+C136+1)</f>
        <v>2049</v>
      </c>
      <c r="D137" s="347">
        <f>IF(F136+SUM(E$99:E136)=D$92,F136,D$92-SUM(E$99:E136))</f>
        <v>159342.61999999988</v>
      </c>
      <c r="E137" s="486">
        <f t="shared" si="43"/>
        <v>34246</v>
      </c>
      <c r="F137" s="485">
        <f t="shared" si="44"/>
        <v>125096.61999999988</v>
      </c>
      <c r="G137" s="485">
        <f t="shared" si="45"/>
        <v>142219.61999999988</v>
      </c>
      <c r="H137" s="486">
        <f t="shared" si="41"/>
        <v>50429.567783673418</v>
      </c>
      <c r="I137" s="542">
        <f t="shared" si="42"/>
        <v>50429.567783673418</v>
      </c>
      <c r="J137" s="478">
        <f t="shared" si="46"/>
        <v>0</v>
      </c>
      <c r="K137" s="478"/>
      <c r="L137" s="487"/>
      <c r="M137" s="478">
        <f t="shared" si="47"/>
        <v>0</v>
      </c>
      <c r="N137" s="487"/>
      <c r="O137" s="478">
        <f t="shared" si="48"/>
        <v>0</v>
      </c>
      <c r="P137" s="478">
        <f t="shared" si="49"/>
        <v>0</v>
      </c>
    </row>
    <row r="138" spans="2:16">
      <c r="B138" s="160" t="str">
        <f t="shared" si="50"/>
        <v/>
      </c>
      <c r="C138" s="472">
        <f>IF(D93="","-",+C137+1)</f>
        <v>2050</v>
      </c>
      <c r="D138" s="347">
        <f>IF(F137+SUM(E$99:E137)=D$92,F137,D$92-SUM(E$99:E137))</f>
        <v>125096.61999999988</v>
      </c>
      <c r="E138" s="486">
        <f t="shared" si="43"/>
        <v>34246</v>
      </c>
      <c r="F138" s="485">
        <f t="shared" si="44"/>
        <v>90850.619999999879</v>
      </c>
      <c r="G138" s="485">
        <f t="shared" si="45"/>
        <v>107973.61999999988</v>
      </c>
      <c r="H138" s="486">
        <f t="shared" si="41"/>
        <v>46532.619793517908</v>
      </c>
      <c r="I138" s="542">
        <f t="shared" si="42"/>
        <v>46532.619793517908</v>
      </c>
      <c r="J138" s="478">
        <f t="shared" si="46"/>
        <v>0</v>
      </c>
      <c r="K138" s="478"/>
      <c r="L138" s="487"/>
      <c r="M138" s="478">
        <f t="shared" si="47"/>
        <v>0</v>
      </c>
      <c r="N138" s="487"/>
      <c r="O138" s="478">
        <f t="shared" si="48"/>
        <v>0</v>
      </c>
      <c r="P138" s="478">
        <f t="shared" si="49"/>
        <v>0</v>
      </c>
    </row>
    <row r="139" spans="2:16">
      <c r="B139" s="160" t="str">
        <f t="shared" si="50"/>
        <v/>
      </c>
      <c r="C139" s="472">
        <f>IF(D93="","-",+C138+1)</f>
        <v>2051</v>
      </c>
      <c r="D139" s="347">
        <f>IF(F138+SUM(E$99:E138)=D$92,F138,D$92-SUM(E$99:E138))</f>
        <v>90850.619999999879</v>
      </c>
      <c r="E139" s="486">
        <f t="shared" si="43"/>
        <v>34246</v>
      </c>
      <c r="F139" s="485">
        <f t="shared" si="44"/>
        <v>56604.619999999879</v>
      </c>
      <c r="G139" s="485">
        <f t="shared" si="45"/>
        <v>73727.619999999879</v>
      </c>
      <c r="H139" s="486">
        <f t="shared" si="41"/>
        <v>42635.671803362398</v>
      </c>
      <c r="I139" s="542">
        <f t="shared" si="42"/>
        <v>42635.671803362398</v>
      </c>
      <c r="J139" s="478">
        <f t="shared" si="46"/>
        <v>0</v>
      </c>
      <c r="K139" s="478"/>
      <c r="L139" s="487"/>
      <c r="M139" s="478">
        <f t="shared" si="47"/>
        <v>0</v>
      </c>
      <c r="N139" s="487"/>
      <c r="O139" s="478">
        <f t="shared" si="48"/>
        <v>0</v>
      </c>
      <c r="P139" s="478">
        <f t="shared" si="49"/>
        <v>0</v>
      </c>
    </row>
    <row r="140" spans="2:16">
      <c r="B140" s="160" t="str">
        <f t="shared" si="50"/>
        <v/>
      </c>
      <c r="C140" s="472">
        <f>IF(D93="","-",+C139+1)</f>
        <v>2052</v>
      </c>
      <c r="D140" s="347">
        <f>IF(F139+SUM(E$99:E139)=D$92,F139,D$92-SUM(E$99:E139))</f>
        <v>56604.619999999879</v>
      </c>
      <c r="E140" s="486">
        <f t="shared" si="43"/>
        <v>34246</v>
      </c>
      <c r="F140" s="485">
        <f t="shared" si="44"/>
        <v>22358.619999999879</v>
      </c>
      <c r="G140" s="485">
        <f t="shared" si="45"/>
        <v>39481.619999999879</v>
      </c>
      <c r="H140" s="486">
        <f t="shared" si="41"/>
        <v>38738.723813206889</v>
      </c>
      <c r="I140" s="542">
        <f t="shared" si="42"/>
        <v>38738.723813206889</v>
      </c>
      <c r="J140" s="478">
        <f t="shared" si="46"/>
        <v>0</v>
      </c>
      <c r="K140" s="478"/>
      <c r="L140" s="487"/>
      <c r="M140" s="478">
        <f t="shared" si="47"/>
        <v>0</v>
      </c>
      <c r="N140" s="487"/>
      <c r="O140" s="478">
        <f t="shared" si="48"/>
        <v>0</v>
      </c>
      <c r="P140" s="478">
        <f t="shared" si="49"/>
        <v>0</v>
      </c>
    </row>
    <row r="141" spans="2:16">
      <c r="B141" s="160" t="str">
        <f t="shared" si="50"/>
        <v/>
      </c>
      <c r="C141" s="472">
        <f>IF(D93="","-",+C140+1)</f>
        <v>2053</v>
      </c>
      <c r="D141" s="347">
        <f>IF(F140+SUM(E$99:E140)=D$92,F140,D$92-SUM(E$99:E140))</f>
        <v>22358.619999999879</v>
      </c>
      <c r="E141" s="486">
        <f t="shared" si="43"/>
        <v>22358.619999999879</v>
      </c>
      <c r="F141" s="485">
        <f t="shared" si="44"/>
        <v>0</v>
      </c>
      <c r="G141" s="485">
        <f t="shared" si="45"/>
        <v>11179.309999999939</v>
      </c>
      <c r="H141" s="486">
        <f t="shared" si="41"/>
        <v>23630.744909064444</v>
      </c>
      <c r="I141" s="542">
        <f t="shared" si="42"/>
        <v>23630.744909064444</v>
      </c>
      <c r="J141" s="478">
        <f t="shared" si="46"/>
        <v>0</v>
      </c>
      <c r="K141" s="478"/>
      <c r="L141" s="487"/>
      <c r="M141" s="478">
        <f t="shared" si="47"/>
        <v>0</v>
      </c>
      <c r="N141" s="487"/>
      <c r="O141" s="478">
        <f t="shared" si="48"/>
        <v>0</v>
      </c>
      <c r="P141" s="478">
        <f t="shared" si="49"/>
        <v>0</v>
      </c>
    </row>
    <row r="142" spans="2:16">
      <c r="B142" s="160" t="str">
        <f t="shared" si="50"/>
        <v/>
      </c>
      <c r="C142" s="472">
        <f>IF(D93="","-",+C141+1)</f>
        <v>2054</v>
      </c>
      <c r="D142" s="347">
        <f>IF(F141+SUM(E$99:E141)=D$92,F141,D$92-SUM(E$99:E141))</f>
        <v>0</v>
      </c>
      <c r="E142" s="486">
        <f t="shared" si="43"/>
        <v>0</v>
      </c>
      <c r="F142" s="485">
        <f t="shared" si="44"/>
        <v>0</v>
      </c>
      <c r="G142" s="485">
        <f t="shared" si="45"/>
        <v>0</v>
      </c>
      <c r="H142" s="486">
        <f t="shared" si="41"/>
        <v>0</v>
      </c>
      <c r="I142" s="542">
        <f t="shared" si="42"/>
        <v>0</v>
      </c>
      <c r="J142" s="478">
        <f t="shared" si="46"/>
        <v>0</v>
      </c>
      <c r="K142" s="478"/>
      <c r="L142" s="487"/>
      <c r="M142" s="478">
        <f t="shared" si="47"/>
        <v>0</v>
      </c>
      <c r="N142" s="487"/>
      <c r="O142" s="478">
        <f t="shared" si="48"/>
        <v>0</v>
      </c>
      <c r="P142" s="478">
        <f t="shared" si="49"/>
        <v>0</v>
      </c>
    </row>
    <row r="143" spans="2:16">
      <c r="B143" s="160" t="str">
        <f t="shared" si="50"/>
        <v/>
      </c>
      <c r="C143" s="472">
        <f>IF(D93="","-",+C142+1)</f>
        <v>2055</v>
      </c>
      <c r="D143" s="347">
        <f>IF(F142+SUM(E$99:E142)=D$92,F142,D$92-SUM(E$99:E142))</f>
        <v>0</v>
      </c>
      <c r="E143" s="486">
        <f t="shared" si="43"/>
        <v>0</v>
      </c>
      <c r="F143" s="485">
        <f t="shared" si="44"/>
        <v>0</v>
      </c>
      <c r="G143" s="485">
        <f t="shared" si="45"/>
        <v>0</v>
      </c>
      <c r="H143" s="486">
        <f t="shared" si="41"/>
        <v>0</v>
      </c>
      <c r="I143" s="542">
        <f t="shared" si="42"/>
        <v>0</v>
      </c>
      <c r="J143" s="478">
        <f t="shared" si="46"/>
        <v>0</v>
      </c>
      <c r="K143" s="478"/>
      <c r="L143" s="487"/>
      <c r="M143" s="478">
        <f t="shared" si="47"/>
        <v>0</v>
      </c>
      <c r="N143" s="487"/>
      <c r="O143" s="478">
        <f t="shared" si="48"/>
        <v>0</v>
      </c>
      <c r="P143" s="478">
        <f t="shared" si="49"/>
        <v>0</v>
      </c>
    </row>
    <row r="144" spans="2:16">
      <c r="B144" s="160" t="str">
        <f t="shared" si="50"/>
        <v/>
      </c>
      <c r="C144" s="472">
        <f>IF(D93="","-",+C143+1)</f>
        <v>2056</v>
      </c>
      <c r="D144" s="347">
        <f>IF(F143+SUM(E$99:E143)=D$92,F143,D$92-SUM(E$99:E143))</f>
        <v>0</v>
      </c>
      <c r="E144" s="486">
        <f t="shared" si="43"/>
        <v>0</v>
      </c>
      <c r="F144" s="485">
        <f t="shared" si="44"/>
        <v>0</v>
      </c>
      <c r="G144" s="485">
        <f t="shared" si="45"/>
        <v>0</v>
      </c>
      <c r="H144" s="486">
        <f t="shared" si="41"/>
        <v>0</v>
      </c>
      <c r="I144" s="542">
        <f t="shared" si="42"/>
        <v>0</v>
      </c>
      <c r="J144" s="478">
        <f t="shared" si="46"/>
        <v>0</v>
      </c>
      <c r="K144" s="478"/>
      <c r="L144" s="487"/>
      <c r="M144" s="478">
        <f t="shared" si="47"/>
        <v>0</v>
      </c>
      <c r="N144" s="487"/>
      <c r="O144" s="478">
        <f t="shared" si="48"/>
        <v>0</v>
      </c>
      <c r="P144" s="478">
        <f t="shared" si="49"/>
        <v>0</v>
      </c>
    </row>
    <row r="145" spans="2:16">
      <c r="B145" s="160" t="str">
        <f t="shared" si="50"/>
        <v/>
      </c>
      <c r="C145" s="472">
        <f>IF(D93="","-",+C144+1)</f>
        <v>2057</v>
      </c>
      <c r="D145" s="347">
        <f>IF(F144+SUM(E$99:E144)=D$92,F144,D$92-SUM(E$99:E144))</f>
        <v>0</v>
      </c>
      <c r="E145" s="486">
        <f t="shared" si="43"/>
        <v>0</v>
      </c>
      <c r="F145" s="485">
        <f t="shared" si="44"/>
        <v>0</v>
      </c>
      <c r="G145" s="485">
        <f t="shared" si="45"/>
        <v>0</v>
      </c>
      <c r="H145" s="486">
        <f t="shared" si="41"/>
        <v>0</v>
      </c>
      <c r="I145" s="542">
        <f t="shared" si="42"/>
        <v>0</v>
      </c>
      <c r="J145" s="478">
        <f t="shared" si="46"/>
        <v>0</v>
      </c>
      <c r="K145" s="478"/>
      <c r="L145" s="487"/>
      <c r="M145" s="478">
        <f t="shared" si="47"/>
        <v>0</v>
      </c>
      <c r="N145" s="487"/>
      <c r="O145" s="478">
        <f t="shared" si="48"/>
        <v>0</v>
      </c>
      <c r="P145" s="478">
        <f t="shared" si="49"/>
        <v>0</v>
      </c>
    </row>
    <row r="146" spans="2:16">
      <c r="B146" s="160" t="str">
        <f t="shared" si="50"/>
        <v/>
      </c>
      <c r="C146" s="472">
        <f>IF(D93="","-",+C145+1)</f>
        <v>2058</v>
      </c>
      <c r="D146" s="347">
        <f>IF(F145+SUM(E$99:E145)=D$92,F145,D$92-SUM(E$99:E145))</f>
        <v>0</v>
      </c>
      <c r="E146" s="486">
        <f t="shared" si="43"/>
        <v>0</v>
      </c>
      <c r="F146" s="485">
        <f t="shared" si="44"/>
        <v>0</v>
      </c>
      <c r="G146" s="485">
        <f t="shared" si="45"/>
        <v>0</v>
      </c>
      <c r="H146" s="486">
        <f t="shared" si="41"/>
        <v>0</v>
      </c>
      <c r="I146" s="542">
        <f t="shared" si="42"/>
        <v>0</v>
      </c>
      <c r="J146" s="478">
        <f t="shared" si="46"/>
        <v>0</v>
      </c>
      <c r="K146" s="478"/>
      <c r="L146" s="487"/>
      <c r="M146" s="478">
        <f t="shared" si="47"/>
        <v>0</v>
      </c>
      <c r="N146" s="487"/>
      <c r="O146" s="478">
        <f t="shared" si="48"/>
        <v>0</v>
      </c>
      <c r="P146" s="478">
        <f t="shared" si="49"/>
        <v>0</v>
      </c>
    </row>
    <row r="147" spans="2:16">
      <c r="B147" s="160" t="str">
        <f t="shared" si="50"/>
        <v/>
      </c>
      <c r="C147" s="472">
        <f>IF(D93="","-",+C146+1)</f>
        <v>2059</v>
      </c>
      <c r="D147" s="347">
        <f>IF(F146+SUM(E$99:E146)=D$92,F146,D$92-SUM(E$99:E146))</f>
        <v>0</v>
      </c>
      <c r="E147" s="486">
        <f t="shared" si="43"/>
        <v>0</v>
      </c>
      <c r="F147" s="485">
        <f t="shared" si="44"/>
        <v>0</v>
      </c>
      <c r="G147" s="485">
        <f t="shared" si="45"/>
        <v>0</v>
      </c>
      <c r="H147" s="486">
        <f t="shared" si="41"/>
        <v>0</v>
      </c>
      <c r="I147" s="542">
        <f t="shared" si="42"/>
        <v>0</v>
      </c>
      <c r="J147" s="478">
        <f t="shared" si="46"/>
        <v>0</v>
      </c>
      <c r="K147" s="478"/>
      <c r="L147" s="487"/>
      <c r="M147" s="478">
        <f t="shared" si="47"/>
        <v>0</v>
      </c>
      <c r="N147" s="487"/>
      <c r="O147" s="478">
        <f t="shared" si="48"/>
        <v>0</v>
      </c>
      <c r="P147" s="478">
        <f t="shared" si="49"/>
        <v>0</v>
      </c>
    </row>
    <row r="148" spans="2:16">
      <c r="B148" s="160" t="str">
        <f t="shared" si="50"/>
        <v/>
      </c>
      <c r="C148" s="472">
        <f>IF(D93="","-",+C147+1)</f>
        <v>2060</v>
      </c>
      <c r="D148" s="347">
        <f>IF(F147+SUM(E$99:E147)=D$92,F147,D$92-SUM(E$99:E147))</f>
        <v>0</v>
      </c>
      <c r="E148" s="486">
        <f t="shared" si="43"/>
        <v>0</v>
      </c>
      <c r="F148" s="485">
        <f t="shared" si="44"/>
        <v>0</v>
      </c>
      <c r="G148" s="485">
        <f t="shared" si="45"/>
        <v>0</v>
      </c>
      <c r="H148" s="486">
        <f t="shared" si="41"/>
        <v>0</v>
      </c>
      <c r="I148" s="542">
        <f t="shared" si="42"/>
        <v>0</v>
      </c>
      <c r="J148" s="478">
        <f t="shared" si="46"/>
        <v>0</v>
      </c>
      <c r="K148" s="478"/>
      <c r="L148" s="487"/>
      <c r="M148" s="478">
        <f t="shared" si="47"/>
        <v>0</v>
      </c>
      <c r="N148" s="487"/>
      <c r="O148" s="478">
        <f t="shared" si="48"/>
        <v>0</v>
      </c>
      <c r="P148" s="478">
        <f t="shared" si="49"/>
        <v>0</v>
      </c>
    </row>
    <row r="149" spans="2:16">
      <c r="B149" s="160" t="str">
        <f t="shared" si="50"/>
        <v/>
      </c>
      <c r="C149" s="472">
        <f>IF(D93="","-",+C148+1)</f>
        <v>2061</v>
      </c>
      <c r="D149" s="347">
        <f>IF(F148+SUM(E$99:E148)=D$92,F148,D$92-SUM(E$99:E148))</f>
        <v>0</v>
      </c>
      <c r="E149" s="486">
        <f t="shared" si="43"/>
        <v>0</v>
      </c>
      <c r="F149" s="485">
        <f t="shared" si="44"/>
        <v>0</v>
      </c>
      <c r="G149" s="485">
        <f t="shared" si="45"/>
        <v>0</v>
      </c>
      <c r="H149" s="486">
        <f t="shared" si="41"/>
        <v>0</v>
      </c>
      <c r="I149" s="542">
        <f t="shared" si="42"/>
        <v>0</v>
      </c>
      <c r="J149" s="478">
        <f t="shared" si="46"/>
        <v>0</v>
      </c>
      <c r="K149" s="478"/>
      <c r="L149" s="487"/>
      <c r="M149" s="478">
        <f t="shared" si="47"/>
        <v>0</v>
      </c>
      <c r="N149" s="487"/>
      <c r="O149" s="478">
        <f t="shared" si="48"/>
        <v>0</v>
      </c>
      <c r="P149" s="478">
        <f t="shared" si="49"/>
        <v>0</v>
      </c>
    </row>
    <row r="150" spans="2:16">
      <c r="B150" s="160" t="str">
        <f t="shared" si="50"/>
        <v/>
      </c>
      <c r="C150" s="472">
        <f>IF(D93="","-",+C149+1)</f>
        <v>2062</v>
      </c>
      <c r="D150" s="347">
        <f>IF(F149+SUM(E$99:E149)=D$92,F149,D$92-SUM(E$99:E149))</f>
        <v>0</v>
      </c>
      <c r="E150" s="486">
        <f t="shared" si="43"/>
        <v>0</v>
      </c>
      <c r="F150" s="485">
        <f t="shared" si="44"/>
        <v>0</v>
      </c>
      <c r="G150" s="485">
        <f t="shared" si="45"/>
        <v>0</v>
      </c>
      <c r="H150" s="486">
        <f t="shared" si="41"/>
        <v>0</v>
      </c>
      <c r="I150" s="542">
        <f t="shared" si="42"/>
        <v>0</v>
      </c>
      <c r="J150" s="478">
        <f t="shared" si="46"/>
        <v>0</v>
      </c>
      <c r="K150" s="478"/>
      <c r="L150" s="487"/>
      <c r="M150" s="478">
        <f t="shared" si="47"/>
        <v>0</v>
      </c>
      <c r="N150" s="487"/>
      <c r="O150" s="478">
        <f t="shared" si="48"/>
        <v>0</v>
      </c>
      <c r="P150" s="478">
        <f t="shared" si="49"/>
        <v>0</v>
      </c>
    </row>
    <row r="151" spans="2:16">
      <c r="B151" s="160" t="str">
        <f t="shared" si="50"/>
        <v/>
      </c>
      <c r="C151" s="472">
        <f>IF(D93="","-",+C150+1)</f>
        <v>2063</v>
      </c>
      <c r="D151" s="347">
        <f>IF(F150+SUM(E$99:E150)=D$92,F150,D$92-SUM(E$99:E150))</f>
        <v>0</v>
      </c>
      <c r="E151" s="486">
        <f t="shared" si="43"/>
        <v>0</v>
      </c>
      <c r="F151" s="485">
        <f t="shared" si="44"/>
        <v>0</v>
      </c>
      <c r="G151" s="485">
        <f t="shared" si="45"/>
        <v>0</v>
      </c>
      <c r="H151" s="486">
        <f t="shared" si="41"/>
        <v>0</v>
      </c>
      <c r="I151" s="542">
        <f t="shared" si="42"/>
        <v>0</v>
      </c>
      <c r="J151" s="478">
        <f t="shared" si="46"/>
        <v>0</v>
      </c>
      <c r="K151" s="478"/>
      <c r="L151" s="487"/>
      <c r="M151" s="478">
        <f t="shared" si="47"/>
        <v>0</v>
      </c>
      <c r="N151" s="487"/>
      <c r="O151" s="478">
        <f t="shared" si="48"/>
        <v>0</v>
      </c>
      <c r="P151" s="478">
        <f t="shared" si="49"/>
        <v>0</v>
      </c>
    </row>
    <row r="152" spans="2:16">
      <c r="B152" s="160" t="str">
        <f t="shared" si="50"/>
        <v/>
      </c>
      <c r="C152" s="472">
        <f>IF(D93="","-",+C151+1)</f>
        <v>2064</v>
      </c>
      <c r="D152" s="347">
        <f>IF(F151+SUM(E$99:E151)=D$92,F151,D$92-SUM(E$99:E151))</f>
        <v>0</v>
      </c>
      <c r="E152" s="486">
        <f t="shared" si="43"/>
        <v>0</v>
      </c>
      <c r="F152" s="485">
        <f t="shared" si="44"/>
        <v>0</v>
      </c>
      <c r="G152" s="485">
        <f t="shared" si="45"/>
        <v>0</v>
      </c>
      <c r="H152" s="486">
        <f t="shared" si="41"/>
        <v>0</v>
      </c>
      <c r="I152" s="542">
        <f t="shared" si="42"/>
        <v>0</v>
      </c>
      <c r="J152" s="478">
        <f t="shared" si="46"/>
        <v>0</v>
      </c>
      <c r="K152" s="478"/>
      <c r="L152" s="487"/>
      <c r="M152" s="478">
        <f t="shared" si="47"/>
        <v>0</v>
      </c>
      <c r="N152" s="487"/>
      <c r="O152" s="478">
        <f t="shared" si="48"/>
        <v>0</v>
      </c>
      <c r="P152" s="478">
        <f t="shared" si="49"/>
        <v>0</v>
      </c>
    </row>
    <row r="153" spans="2:16">
      <c r="B153" s="160" t="str">
        <f t="shared" si="50"/>
        <v/>
      </c>
      <c r="C153" s="472">
        <f>IF(D93="","-",+C152+1)</f>
        <v>2065</v>
      </c>
      <c r="D153" s="347">
        <f>IF(F152+SUM(E$99:E152)=D$92,F152,D$92-SUM(E$99:E152))</f>
        <v>0</v>
      </c>
      <c r="E153" s="486">
        <f t="shared" si="43"/>
        <v>0</v>
      </c>
      <c r="F153" s="485">
        <f t="shared" si="44"/>
        <v>0</v>
      </c>
      <c r="G153" s="485">
        <f t="shared" si="45"/>
        <v>0</v>
      </c>
      <c r="H153" s="486">
        <f t="shared" si="41"/>
        <v>0</v>
      </c>
      <c r="I153" s="542">
        <f t="shared" si="42"/>
        <v>0</v>
      </c>
      <c r="J153" s="478">
        <f t="shared" si="46"/>
        <v>0</v>
      </c>
      <c r="K153" s="478"/>
      <c r="L153" s="487"/>
      <c r="M153" s="478">
        <f t="shared" si="47"/>
        <v>0</v>
      </c>
      <c r="N153" s="487"/>
      <c r="O153" s="478">
        <f t="shared" si="48"/>
        <v>0</v>
      </c>
      <c r="P153" s="478">
        <f t="shared" si="49"/>
        <v>0</v>
      </c>
    </row>
    <row r="154" spans="2:16" ht="13.5" thickBot="1">
      <c r="B154" s="160" t="str">
        <f t="shared" si="50"/>
        <v/>
      </c>
      <c r="C154" s="489">
        <f>IF(D93="","-",+C153+1)</f>
        <v>2066</v>
      </c>
      <c r="D154" s="576">
        <f>IF(F153+SUM(E$99:E153)=D$92,F153,D$92-SUM(E$99:E153))</f>
        <v>0</v>
      </c>
      <c r="E154" s="544">
        <f t="shared" si="43"/>
        <v>0</v>
      </c>
      <c r="F154" s="490">
        <f t="shared" si="44"/>
        <v>0</v>
      </c>
      <c r="G154" s="490">
        <f t="shared" si="45"/>
        <v>0</v>
      </c>
      <c r="H154" s="492">
        <f t="shared" ref="H154" si="51">+J$94*G154+E154</f>
        <v>0</v>
      </c>
      <c r="I154" s="545">
        <f t="shared" ref="I154" si="52">+J$95*G154+E154</f>
        <v>0</v>
      </c>
      <c r="J154" s="495">
        <f t="shared" si="46"/>
        <v>0</v>
      </c>
      <c r="K154" s="478"/>
      <c r="L154" s="494"/>
      <c r="M154" s="495">
        <f t="shared" si="47"/>
        <v>0</v>
      </c>
      <c r="N154" s="494"/>
      <c r="O154" s="495">
        <f t="shared" si="48"/>
        <v>0</v>
      </c>
      <c r="P154" s="495">
        <f t="shared" si="49"/>
        <v>0</v>
      </c>
    </row>
    <row r="155" spans="2:16">
      <c r="C155" s="347" t="s">
        <v>77</v>
      </c>
      <c r="D155" s="348"/>
      <c r="E155" s="348">
        <f>SUM(E99:E154)</f>
        <v>1404099.6199999999</v>
      </c>
      <c r="F155" s="348"/>
      <c r="G155" s="348"/>
      <c r="H155" s="348">
        <f>SUM(H99:H154)</f>
        <v>5054950.3756767865</v>
      </c>
      <c r="I155" s="348">
        <f>SUM(I99:I154)</f>
        <v>5054950.3756767865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42" priority="1" stopIfTrue="1" operator="equal">
      <formula>$I$10</formula>
    </cfRule>
  </conditionalFormatting>
  <conditionalFormatting sqref="C99:C154">
    <cfRule type="cellIs" dxfId="4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2"/>
  <dimension ref="A1:P162"/>
  <sheetViews>
    <sheetView zoomScaleNormal="100" zoomScaleSheetLayoutView="75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8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12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365431.30558139534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365431.30558139534</v>
      </c>
      <c r="O6" s="233"/>
      <c r="P6" s="233"/>
    </row>
    <row r="7" spans="1:16" ht="13.5" thickBot="1">
      <c r="C7" s="431" t="s">
        <v>46</v>
      </c>
      <c r="D7" s="432" t="s">
        <v>237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572" t="s">
        <v>236</v>
      </c>
      <c r="E9" s="577" t="s">
        <v>295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3305767.14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2012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8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76878.305581395354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2012</v>
      </c>
      <c r="D17" s="473">
        <v>1132400</v>
      </c>
      <c r="E17" s="474">
        <v>3629.4871794871797</v>
      </c>
      <c r="F17" s="473">
        <v>1128770.5128205128</v>
      </c>
      <c r="G17" s="474">
        <v>160761.94360740471</v>
      </c>
      <c r="H17" s="481">
        <v>160761.94360740471</v>
      </c>
      <c r="I17" s="475">
        <f t="shared" ref="I17:I48" si="0">H17-G17</f>
        <v>0</v>
      </c>
      <c r="J17" s="475"/>
      <c r="K17" s="554">
        <f t="shared" ref="K17:K22" si="1">G17</f>
        <v>160761.94360740471</v>
      </c>
      <c r="L17" s="562">
        <f t="shared" ref="L17:L48" si="2">IF(K17&lt;&gt;0,+G17-K17,0)</f>
        <v>0</v>
      </c>
      <c r="M17" s="554">
        <f t="shared" ref="M17:M22" si="3">H17</f>
        <v>160761.94360740471</v>
      </c>
      <c r="N17" s="559">
        <f t="shared" ref="N17:N48" si="4">IF(M17&lt;&gt;0,+H17-M17,0)</f>
        <v>0</v>
      </c>
      <c r="O17" s="478">
        <f t="shared" ref="O17:O48" si="5">+N17-L17</f>
        <v>0</v>
      </c>
      <c r="P17" s="243"/>
    </row>
    <row r="18" spans="2:16">
      <c r="B18" s="160" t="str">
        <f t="shared" ref="B18:B49" si="6">IF(D18=F17,"","IU")</f>
        <v>IU</v>
      </c>
      <c r="C18" s="472">
        <f>IF(D11="","-",+C17+1)</f>
        <v>2013</v>
      </c>
      <c r="D18" s="473">
        <v>2746405</v>
      </c>
      <c r="E18" s="480">
        <v>52885</v>
      </c>
      <c r="F18" s="473">
        <v>2693519</v>
      </c>
      <c r="G18" s="480">
        <v>437538</v>
      </c>
      <c r="H18" s="481">
        <v>437538</v>
      </c>
      <c r="I18" s="475">
        <f t="shared" si="0"/>
        <v>0</v>
      </c>
      <c r="J18" s="475"/>
      <c r="K18" s="476">
        <f t="shared" si="1"/>
        <v>437538</v>
      </c>
      <c r="L18" s="550">
        <f t="shared" ref="L18:L23" si="7">IF(K18&lt;&gt;0,+G18-K18,0)</f>
        <v>0</v>
      </c>
      <c r="M18" s="476">
        <f t="shared" si="3"/>
        <v>437538</v>
      </c>
      <c r="N18" s="478">
        <f t="shared" ref="N18:N23" si="8">IF(M18&lt;&gt;0,+H18-M18,0)</f>
        <v>0</v>
      </c>
      <c r="O18" s="478">
        <f t="shared" ref="O18:O23" si="9">+N18-L18</f>
        <v>0</v>
      </c>
      <c r="P18" s="243"/>
    </row>
    <row r="19" spans="2:16">
      <c r="B19" s="160" t="str">
        <f t="shared" si="6"/>
        <v>IU</v>
      </c>
      <c r="C19" s="472">
        <f>IF(D11="","-",+C18+1)</f>
        <v>2014</v>
      </c>
      <c r="D19" s="473">
        <v>3185619.512820513</v>
      </c>
      <c r="E19" s="480">
        <v>62348.730769230766</v>
      </c>
      <c r="F19" s="473">
        <v>3123270.782051282</v>
      </c>
      <c r="G19" s="480">
        <v>492294.73076923075</v>
      </c>
      <c r="H19" s="481">
        <v>492294.73076923075</v>
      </c>
      <c r="I19" s="475">
        <v>0</v>
      </c>
      <c r="J19" s="475"/>
      <c r="K19" s="476">
        <f t="shared" si="1"/>
        <v>492294.73076923075</v>
      </c>
      <c r="L19" s="550">
        <f t="shared" si="7"/>
        <v>0</v>
      </c>
      <c r="M19" s="476">
        <f t="shared" si="3"/>
        <v>492294.73076923075</v>
      </c>
      <c r="N19" s="478">
        <f t="shared" si="8"/>
        <v>0</v>
      </c>
      <c r="O19" s="478">
        <f t="shared" si="9"/>
        <v>0</v>
      </c>
      <c r="P19" s="243"/>
    </row>
    <row r="20" spans="2:16">
      <c r="B20" s="160" t="str">
        <f t="shared" si="6"/>
        <v>IU</v>
      </c>
      <c r="C20" s="472">
        <f>IF(D11="","-",+C19+1)</f>
        <v>2015</v>
      </c>
      <c r="D20" s="473">
        <v>3186903.9220512821</v>
      </c>
      <c r="E20" s="480">
        <v>63572.445</v>
      </c>
      <c r="F20" s="473">
        <v>3123331.4770512823</v>
      </c>
      <c r="G20" s="480">
        <v>494191.44500000001</v>
      </c>
      <c r="H20" s="481">
        <v>494191.44500000001</v>
      </c>
      <c r="I20" s="475">
        <v>0</v>
      </c>
      <c r="J20" s="475"/>
      <c r="K20" s="476">
        <f t="shared" si="1"/>
        <v>494191.44500000001</v>
      </c>
      <c r="L20" s="550">
        <f t="shared" si="7"/>
        <v>0</v>
      </c>
      <c r="M20" s="476">
        <f t="shared" si="3"/>
        <v>494191.44500000001</v>
      </c>
      <c r="N20" s="478">
        <f t="shared" si="8"/>
        <v>0</v>
      </c>
      <c r="O20" s="478">
        <f t="shared" si="9"/>
        <v>0</v>
      </c>
      <c r="P20" s="243"/>
    </row>
    <row r="21" spans="2:16">
      <c r="B21" s="160" t="str">
        <f t="shared" si="6"/>
        <v/>
      </c>
      <c r="C21" s="472">
        <f>IF(D11="","-",+C20+1)</f>
        <v>2016</v>
      </c>
      <c r="D21" s="473">
        <v>3123331.4770512823</v>
      </c>
      <c r="E21" s="480">
        <v>63572.445</v>
      </c>
      <c r="F21" s="473">
        <v>3059759.0320512825</v>
      </c>
      <c r="G21" s="480">
        <v>464889.44500000001</v>
      </c>
      <c r="H21" s="481">
        <v>464889.44500000001</v>
      </c>
      <c r="I21" s="475">
        <f t="shared" si="0"/>
        <v>0</v>
      </c>
      <c r="J21" s="475"/>
      <c r="K21" s="476">
        <f t="shared" si="1"/>
        <v>464889.44500000001</v>
      </c>
      <c r="L21" s="550">
        <f t="shared" si="7"/>
        <v>0</v>
      </c>
      <c r="M21" s="476">
        <f t="shared" si="3"/>
        <v>464889.44500000001</v>
      </c>
      <c r="N21" s="478">
        <f t="shared" si="8"/>
        <v>0</v>
      </c>
      <c r="O21" s="478">
        <f t="shared" si="9"/>
        <v>0</v>
      </c>
      <c r="P21" s="243"/>
    </row>
    <row r="22" spans="2:16">
      <c r="B22" s="160" t="str">
        <f t="shared" si="6"/>
        <v/>
      </c>
      <c r="C22" s="472">
        <f>IF(D11="","-",+C21+1)</f>
        <v>2017</v>
      </c>
      <c r="D22" s="473">
        <v>3059759.0320512825</v>
      </c>
      <c r="E22" s="480">
        <v>71864.503043478268</v>
      </c>
      <c r="F22" s="473">
        <v>2987894.5290078041</v>
      </c>
      <c r="G22" s="480">
        <v>452105.50304347824</v>
      </c>
      <c r="H22" s="481">
        <v>452105.50304347824</v>
      </c>
      <c r="I22" s="475">
        <f t="shared" si="0"/>
        <v>0</v>
      </c>
      <c r="J22" s="475"/>
      <c r="K22" s="476">
        <f t="shared" si="1"/>
        <v>452105.50304347824</v>
      </c>
      <c r="L22" s="550">
        <f t="shared" si="7"/>
        <v>0</v>
      </c>
      <c r="M22" s="476">
        <f t="shared" si="3"/>
        <v>452105.50304347824</v>
      </c>
      <c r="N22" s="478">
        <f t="shared" si="8"/>
        <v>0</v>
      </c>
      <c r="O22" s="478">
        <f t="shared" si="9"/>
        <v>0</v>
      </c>
      <c r="P22" s="243"/>
    </row>
    <row r="23" spans="2:16">
      <c r="B23" s="160" t="str">
        <f t="shared" si="6"/>
        <v/>
      </c>
      <c r="C23" s="472">
        <f>IF(D11="","-",+C22+1)</f>
        <v>2018</v>
      </c>
      <c r="D23" s="473">
        <v>2987894.5290078041</v>
      </c>
      <c r="E23" s="480">
        <v>73461.491999999998</v>
      </c>
      <c r="F23" s="473">
        <v>2914433.037007804</v>
      </c>
      <c r="G23" s="480">
        <v>467887.49199999997</v>
      </c>
      <c r="H23" s="481">
        <v>467887.49199999997</v>
      </c>
      <c r="I23" s="475">
        <f t="shared" si="0"/>
        <v>0</v>
      </c>
      <c r="J23" s="475"/>
      <c r="K23" s="476">
        <f>G23</f>
        <v>467887.49199999997</v>
      </c>
      <c r="L23" s="550">
        <f t="shared" si="7"/>
        <v>0</v>
      </c>
      <c r="M23" s="476">
        <f>H23</f>
        <v>467887.49199999997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2019</v>
      </c>
      <c r="D24" s="473">
        <v>2914433.037007804</v>
      </c>
      <c r="E24" s="480">
        <v>73461.491999999998</v>
      </c>
      <c r="F24" s="473">
        <v>2840971.5450078039</v>
      </c>
      <c r="G24" s="480">
        <v>457945.49199999997</v>
      </c>
      <c r="H24" s="481">
        <v>457945.49199999997</v>
      </c>
      <c r="I24" s="475">
        <f t="shared" si="0"/>
        <v>0</v>
      </c>
      <c r="J24" s="475"/>
      <c r="K24" s="476">
        <f>G24</f>
        <v>457945.49199999997</v>
      </c>
      <c r="L24" s="550">
        <f t="shared" ref="L24" si="10">IF(K24&lt;&gt;0,+G24-K24,0)</f>
        <v>0</v>
      </c>
      <c r="M24" s="476">
        <f>H24</f>
        <v>457945.49199999997</v>
      </c>
      <c r="N24" s="478">
        <f t="shared" ref="N24" si="11">IF(M24&lt;&gt;0,+H24-M24,0)</f>
        <v>0</v>
      </c>
      <c r="O24" s="478">
        <f t="shared" ref="O24" si="12">+N24-L24</f>
        <v>0</v>
      </c>
      <c r="P24" s="243"/>
    </row>
    <row r="25" spans="2:16">
      <c r="B25" s="160" t="str">
        <f t="shared" si="6"/>
        <v/>
      </c>
      <c r="C25" s="472">
        <f>IF(D11="","-",+C24+1)</f>
        <v>2020</v>
      </c>
      <c r="D25" s="473">
        <v>2840971.5450078039</v>
      </c>
      <c r="E25" s="480">
        <v>78708.741428571433</v>
      </c>
      <c r="F25" s="473">
        <v>2762262.8035792327</v>
      </c>
      <c r="G25" s="480">
        <v>381296.77932523622</v>
      </c>
      <c r="H25" s="481">
        <v>381296.77932523622</v>
      </c>
      <c r="I25" s="475">
        <f t="shared" si="0"/>
        <v>0</v>
      </c>
      <c r="J25" s="475"/>
      <c r="K25" s="476">
        <f>G25</f>
        <v>381296.77932523622</v>
      </c>
      <c r="L25" s="550">
        <f t="shared" ref="L25" si="13">IF(K25&lt;&gt;0,+G25-K25,0)</f>
        <v>0</v>
      </c>
      <c r="M25" s="476">
        <f>H25</f>
        <v>381296.77932523622</v>
      </c>
      <c r="N25" s="478">
        <f t="shared" si="4"/>
        <v>0</v>
      </c>
      <c r="O25" s="478">
        <f t="shared" si="5"/>
        <v>0</v>
      </c>
      <c r="P25" s="243"/>
    </row>
    <row r="26" spans="2:16">
      <c r="B26" s="160" t="str">
        <f t="shared" si="6"/>
        <v>IU</v>
      </c>
      <c r="C26" s="472">
        <f>IF(D11="","-",+C25+1)</f>
        <v>2021</v>
      </c>
      <c r="D26" s="473">
        <v>2753080.1170792324</v>
      </c>
      <c r="E26" s="480">
        <v>76878.305581395354</v>
      </c>
      <c r="F26" s="473">
        <v>2676201.8114978368</v>
      </c>
      <c r="G26" s="480">
        <v>365431.30558139534</v>
      </c>
      <c r="H26" s="481">
        <v>365431.30558139534</v>
      </c>
      <c r="I26" s="475">
        <f t="shared" si="0"/>
        <v>0</v>
      </c>
      <c r="J26" s="475"/>
      <c r="K26" s="476">
        <f>G26</f>
        <v>365431.30558139534</v>
      </c>
      <c r="L26" s="550">
        <f t="shared" ref="L26" si="14">IF(K26&lt;&gt;0,+G26-K26,0)</f>
        <v>0</v>
      </c>
      <c r="M26" s="476">
        <f>H26</f>
        <v>365431.30558139534</v>
      </c>
      <c r="N26" s="478">
        <f t="shared" si="4"/>
        <v>0</v>
      </c>
      <c r="O26" s="478">
        <f t="shared" si="5"/>
        <v>0</v>
      </c>
      <c r="P26" s="243"/>
    </row>
    <row r="27" spans="2:16">
      <c r="B27" s="160" t="str">
        <f t="shared" si="6"/>
        <v>IU</v>
      </c>
      <c r="C27" s="472">
        <f>IF(D11="","-",+C26+1)</f>
        <v>2022</v>
      </c>
      <c r="D27" s="483">
        <f>IF(F26+SUM(E$17:E26)=D$10,F26,D$10-SUM(E$17:E26))</f>
        <v>2685384.4979978371</v>
      </c>
      <c r="E27" s="484">
        <f>IF(+I14&lt;F26,I14,D27)</f>
        <v>76878.305581395354</v>
      </c>
      <c r="F27" s="485">
        <f t="shared" ref="F27:F48" si="15">+D27-E27</f>
        <v>2608506.1924164416</v>
      </c>
      <c r="G27" s="486">
        <f t="shared" ref="G27:G72" si="16">(D27+F27)/2*I$12+E27</f>
        <v>381426.13662602403</v>
      </c>
      <c r="H27" s="455">
        <f t="shared" ref="H27:H72" si="17">+(D27+F27)/2*I$13+E27</f>
        <v>381426.13662602403</v>
      </c>
      <c r="I27" s="475">
        <f t="shared" si="0"/>
        <v>0</v>
      </c>
      <c r="J27" s="475"/>
      <c r="K27" s="487"/>
      <c r="L27" s="478">
        <f t="shared" si="2"/>
        <v>0</v>
      </c>
      <c r="M27" s="487"/>
      <c r="N27" s="478">
        <f t="shared" si="4"/>
        <v>0</v>
      </c>
      <c r="O27" s="478">
        <f t="shared" si="5"/>
        <v>0</v>
      </c>
      <c r="P27" s="243"/>
    </row>
    <row r="28" spans="2:16">
      <c r="B28" s="160" t="str">
        <f t="shared" si="6"/>
        <v/>
      </c>
      <c r="C28" s="472">
        <f>IF(D11="","-",+C27+1)</f>
        <v>2023</v>
      </c>
      <c r="D28" s="485">
        <f>IF(F27+SUM(E$17:E27)=D$10,F27,D$10-SUM(E$17:E27))</f>
        <v>2608506.1924164416</v>
      </c>
      <c r="E28" s="484">
        <f>IF(+I14&lt;F27,I14,D28)</f>
        <v>76878.305581395354</v>
      </c>
      <c r="F28" s="485">
        <f t="shared" si="15"/>
        <v>2531627.8868350461</v>
      </c>
      <c r="G28" s="486">
        <f t="shared" si="16"/>
        <v>372580.80052507482</v>
      </c>
      <c r="H28" s="455">
        <f t="shared" si="17"/>
        <v>372580.80052507482</v>
      </c>
      <c r="I28" s="475">
        <f t="shared" si="0"/>
        <v>0</v>
      </c>
      <c r="J28" s="475"/>
      <c r="K28" s="487"/>
      <c r="L28" s="478">
        <f t="shared" si="2"/>
        <v>0</v>
      </c>
      <c r="M28" s="487"/>
      <c r="N28" s="478">
        <f t="shared" si="4"/>
        <v>0</v>
      </c>
      <c r="O28" s="478">
        <f t="shared" si="5"/>
        <v>0</v>
      </c>
      <c r="P28" s="243"/>
    </row>
    <row r="29" spans="2:16">
      <c r="B29" s="160" t="str">
        <f t="shared" si="6"/>
        <v/>
      </c>
      <c r="C29" s="472">
        <f>IF(D11="","-",+C28+1)</f>
        <v>2024</v>
      </c>
      <c r="D29" s="485">
        <f>IF(F28+SUM(E$17:E28)=D$10,F28,D$10-SUM(E$17:E28))</f>
        <v>2531627.8868350461</v>
      </c>
      <c r="E29" s="484">
        <f>IF(+I14&lt;F28,I14,D29)</f>
        <v>76878.305581395354</v>
      </c>
      <c r="F29" s="485">
        <f t="shared" si="15"/>
        <v>2454749.5812536506</v>
      </c>
      <c r="G29" s="486">
        <f t="shared" si="16"/>
        <v>363735.46442412562</v>
      </c>
      <c r="H29" s="455">
        <f t="shared" si="17"/>
        <v>363735.46442412562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3"/>
    </row>
    <row r="30" spans="2:16">
      <c r="B30" s="160" t="str">
        <f t="shared" si="6"/>
        <v/>
      </c>
      <c r="C30" s="472">
        <f>IF(D11="","-",+C29+1)</f>
        <v>2025</v>
      </c>
      <c r="D30" s="485">
        <f>IF(F29+SUM(E$17:E29)=D$10,F29,D$10-SUM(E$17:E29))</f>
        <v>2454749.5812536506</v>
      </c>
      <c r="E30" s="484">
        <f>IF(+I14&lt;F29,I14,D30)</f>
        <v>76878.305581395354</v>
      </c>
      <c r="F30" s="485">
        <f t="shared" si="15"/>
        <v>2377871.2756722551</v>
      </c>
      <c r="G30" s="486">
        <f t="shared" si="16"/>
        <v>354890.12832317641</v>
      </c>
      <c r="H30" s="455">
        <f t="shared" si="17"/>
        <v>354890.12832317641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3"/>
    </row>
    <row r="31" spans="2:16">
      <c r="B31" s="160" t="str">
        <f t="shared" si="6"/>
        <v/>
      </c>
      <c r="C31" s="472">
        <f>IF(D11="","-",+C30+1)</f>
        <v>2026</v>
      </c>
      <c r="D31" s="485">
        <f>IF(F30+SUM(E$17:E30)=D$10,F30,D$10-SUM(E$17:E30))</f>
        <v>2377871.2756722551</v>
      </c>
      <c r="E31" s="484">
        <f>IF(+I14&lt;F30,I14,D31)</f>
        <v>76878.305581395354</v>
      </c>
      <c r="F31" s="485">
        <f t="shared" si="15"/>
        <v>2300992.9700908596</v>
      </c>
      <c r="G31" s="486">
        <f t="shared" si="16"/>
        <v>346044.7922222272</v>
      </c>
      <c r="H31" s="455">
        <f t="shared" si="17"/>
        <v>346044.7922222272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3"/>
    </row>
    <row r="32" spans="2:16">
      <c r="B32" s="160" t="str">
        <f t="shared" si="6"/>
        <v/>
      </c>
      <c r="C32" s="472">
        <f>IF(D11="","-",+C31+1)</f>
        <v>2027</v>
      </c>
      <c r="D32" s="485">
        <f>IF(F31+SUM(E$17:E31)=D$10,F31,D$10-SUM(E$17:E31))</f>
        <v>2300992.9700908596</v>
      </c>
      <c r="E32" s="484">
        <f>IF(+I14&lt;F31,I14,D32)</f>
        <v>76878.305581395354</v>
      </c>
      <c r="F32" s="485">
        <f t="shared" si="15"/>
        <v>2224114.6645094641</v>
      </c>
      <c r="G32" s="486">
        <f t="shared" si="16"/>
        <v>337199.456121278</v>
      </c>
      <c r="H32" s="455">
        <f t="shared" si="17"/>
        <v>337199.456121278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3"/>
    </row>
    <row r="33" spans="2:16">
      <c r="B33" s="160" t="str">
        <f t="shared" si="6"/>
        <v/>
      </c>
      <c r="C33" s="472">
        <f>IF(D11="","-",+C32+1)</f>
        <v>2028</v>
      </c>
      <c r="D33" s="485">
        <f>IF(F32+SUM(E$17:E32)=D$10,F32,D$10-SUM(E$17:E32))</f>
        <v>2224114.6645094641</v>
      </c>
      <c r="E33" s="484">
        <f>IF(+I14&lt;F32,I14,D33)</f>
        <v>76878.305581395354</v>
      </c>
      <c r="F33" s="485">
        <f t="shared" si="15"/>
        <v>2147236.3589280685</v>
      </c>
      <c r="G33" s="486">
        <f t="shared" si="16"/>
        <v>328354.12002032879</v>
      </c>
      <c r="H33" s="455">
        <f t="shared" si="17"/>
        <v>328354.12002032879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3"/>
    </row>
    <row r="34" spans="2:16">
      <c r="B34" s="160" t="str">
        <f t="shared" si="6"/>
        <v/>
      </c>
      <c r="C34" s="472">
        <f>IF(D11="","-",+C33+1)</f>
        <v>2029</v>
      </c>
      <c r="D34" s="485">
        <f>IF(F33+SUM(E$17:E33)=D$10,F33,D$10-SUM(E$17:E33))</f>
        <v>2147236.3589280685</v>
      </c>
      <c r="E34" s="484">
        <f>IF(+I14&lt;F33,I14,D34)</f>
        <v>76878.305581395354</v>
      </c>
      <c r="F34" s="485">
        <f t="shared" si="15"/>
        <v>2070358.0533466733</v>
      </c>
      <c r="G34" s="486">
        <f t="shared" si="16"/>
        <v>319508.78391937958</v>
      </c>
      <c r="H34" s="455">
        <f t="shared" si="17"/>
        <v>319508.78391937958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3"/>
    </row>
    <row r="35" spans="2:16">
      <c r="B35" s="160" t="str">
        <f t="shared" si="6"/>
        <v/>
      </c>
      <c r="C35" s="472">
        <f>IF(D11="","-",+C34+1)</f>
        <v>2030</v>
      </c>
      <c r="D35" s="485">
        <f>IF(F34+SUM(E$17:E34)=D$10,F34,D$10-SUM(E$17:E34))</f>
        <v>2070358.0533466733</v>
      </c>
      <c r="E35" s="484">
        <f>IF(+I14&lt;F34,I14,D35)</f>
        <v>76878.305581395354</v>
      </c>
      <c r="F35" s="485">
        <f t="shared" si="15"/>
        <v>1993479.747765278</v>
      </c>
      <c r="G35" s="486">
        <f t="shared" si="16"/>
        <v>310663.44781843043</v>
      </c>
      <c r="H35" s="455">
        <f t="shared" si="17"/>
        <v>310663.44781843043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3"/>
    </row>
    <row r="36" spans="2:16">
      <c r="B36" s="160" t="str">
        <f t="shared" si="6"/>
        <v/>
      </c>
      <c r="C36" s="472">
        <f>IF(D11="","-",+C35+1)</f>
        <v>2031</v>
      </c>
      <c r="D36" s="485">
        <f>IF(F35+SUM(E$17:E35)=D$10,F35,D$10-SUM(E$17:E35))</f>
        <v>1993479.747765278</v>
      </c>
      <c r="E36" s="484">
        <f>IF(+I14&lt;F35,I14,D36)</f>
        <v>76878.305581395354</v>
      </c>
      <c r="F36" s="485">
        <f t="shared" si="15"/>
        <v>1916601.4421838827</v>
      </c>
      <c r="G36" s="486">
        <f t="shared" si="16"/>
        <v>301818.11171748122</v>
      </c>
      <c r="H36" s="455">
        <f t="shared" si="17"/>
        <v>301818.11171748122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3"/>
    </row>
    <row r="37" spans="2:16">
      <c r="B37" s="160" t="str">
        <f t="shared" si="6"/>
        <v/>
      </c>
      <c r="C37" s="472">
        <f>IF(D11="","-",+C36+1)</f>
        <v>2032</v>
      </c>
      <c r="D37" s="485">
        <f>IF(F36+SUM(E$17:E36)=D$10,F36,D$10-SUM(E$17:E36))</f>
        <v>1916601.4421838827</v>
      </c>
      <c r="E37" s="484">
        <f>IF(+I14&lt;F36,I14,D37)</f>
        <v>76878.305581395354</v>
      </c>
      <c r="F37" s="485">
        <f t="shared" si="15"/>
        <v>1839723.1366024874</v>
      </c>
      <c r="G37" s="486">
        <f t="shared" si="16"/>
        <v>292972.77561653208</v>
      </c>
      <c r="H37" s="455">
        <f t="shared" si="17"/>
        <v>292972.77561653208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3"/>
    </row>
    <row r="38" spans="2:16">
      <c r="B38" s="160" t="str">
        <f t="shared" si="6"/>
        <v/>
      </c>
      <c r="C38" s="472">
        <f>IF(D11="","-",+C37+1)</f>
        <v>2033</v>
      </c>
      <c r="D38" s="485">
        <f>IF(F37+SUM(E$17:E37)=D$10,F37,D$10-SUM(E$17:E37))</f>
        <v>1839723.1366024874</v>
      </c>
      <c r="E38" s="484">
        <f>IF(+I14&lt;F37,I14,D38)</f>
        <v>76878.305581395354</v>
      </c>
      <c r="F38" s="485">
        <f t="shared" si="15"/>
        <v>1762844.8310210921</v>
      </c>
      <c r="G38" s="486">
        <f t="shared" si="16"/>
        <v>284127.43951558287</v>
      </c>
      <c r="H38" s="455">
        <f t="shared" si="17"/>
        <v>284127.43951558287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3"/>
    </row>
    <row r="39" spans="2:16">
      <c r="B39" s="160" t="str">
        <f t="shared" si="6"/>
        <v/>
      </c>
      <c r="C39" s="472">
        <f>IF(D11="","-",+C38+1)</f>
        <v>2034</v>
      </c>
      <c r="D39" s="485">
        <f>IF(F38+SUM(E$17:E38)=D$10,F38,D$10-SUM(E$17:E38))</f>
        <v>1762844.8310210921</v>
      </c>
      <c r="E39" s="484">
        <f>IF(+I14&lt;F38,I14,D39)</f>
        <v>76878.305581395354</v>
      </c>
      <c r="F39" s="485">
        <f t="shared" si="15"/>
        <v>1685966.5254396969</v>
      </c>
      <c r="G39" s="486">
        <f t="shared" si="16"/>
        <v>275282.10341463366</v>
      </c>
      <c r="H39" s="455">
        <f t="shared" si="17"/>
        <v>275282.10341463366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3"/>
    </row>
    <row r="40" spans="2:16">
      <c r="B40" s="160" t="str">
        <f t="shared" si="6"/>
        <v/>
      </c>
      <c r="C40" s="472">
        <f>IF(D11="","-",+C39+1)</f>
        <v>2035</v>
      </c>
      <c r="D40" s="485">
        <f>IF(F39+SUM(E$17:E39)=D$10,F39,D$10-SUM(E$17:E39))</f>
        <v>1685966.5254396969</v>
      </c>
      <c r="E40" s="484">
        <f>IF(+I14&lt;F39,I14,D40)</f>
        <v>76878.305581395354</v>
      </c>
      <c r="F40" s="485">
        <f t="shared" si="15"/>
        <v>1609088.2198583016</v>
      </c>
      <c r="G40" s="486">
        <f t="shared" si="16"/>
        <v>266436.76731368445</v>
      </c>
      <c r="H40" s="455">
        <f t="shared" si="17"/>
        <v>266436.76731368445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3"/>
    </row>
    <row r="41" spans="2:16">
      <c r="B41" s="160" t="str">
        <f t="shared" si="6"/>
        <v/>
      </c>
      <c r="C41" s="472">
        <f>IF(D11="","-",+C40+1)</f>
        <v>2036</v>
      </c>
      <c r="D41" s="485">
        <f>IF(F40+SUM(E$17:E40)=D$10,F40,D$10-SUM(E$17:E40))</f>
        <v>1609088.2198583016</v>
      </c>
      <c r="E41" s="484">
        <f>IF(+I14&lt;F40,I14,D41)</f>
        <v>76878.305581395354</v>
      </c>
      <c r="F41" s="485">
        <f t="shared" si="15"/>
        <v>1532209.9142769063</v>
      </c>
      <c r="G41" s="486">
        <f t="shared" si="16"/>
        <v>257591.4312127353</v>
      </c>
      <c r="H41" s="455">
        <f t="shared" si="17"/>
        <v>257591.4312127353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3"/>
    </row>
    <row r="42" spans="2:16">
      <c r="B42" s="160" t="str">
        <f t="shared" si="6"/>
        <v/>
      </c>
      <c r="C42" s="472">
        <f>IF(D11="","-",+C41+1)</f>
        <v>2037</v>
      </c>
      <c r="D42" s="485">
        <f>IF(F41+SUM(E$17:E41)=D$10,F41,D$10-SUM(E$17:E41))</f>
        <v>1532209.9142769063</v>
      </c>
      <c r="E42" s="484">
        <f>IF(+I14&lt;F41,I14,D42)</f>
        <v>76878.305581395354</v>
      </c>
      <c r="F42" s="485">
        <f t="shared" si="15"/>
        <v>1455331.608695511</v>
      </c>
      <c r="G42" s="486">
        <f t="shared" si="16"/>
        <v>248746.0951117861</v>
      </c>
      <c r="H42" s="455">
        <f t="shared" si="17"/>
        <v>248746.0951117861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3"/>
    </row>
    <row r="43" spans="2:16">
      <c r="B43" s="160" t="str">
        <f t="shared" si="6"/>
        <v/>
      </c>
      <c r="C43" s="472">
        <f>IF(D11="","-",+C42+1)</f>
        <v>2038</v>
      </c>
      <c r="D43" s="485">
        <f>IF(F42+SUM(E$17:E42)=D$10,F42,D$10-SUM(E$17:E42))</f>
        <v>1455331.608695511</v>
      </c>
      <c r="E43" s="484">
        <f>IF(+I14&lt;F42,I14,D43)</f>
        <v>76878.305581395354</v>
      </c>
      <c r="F43" s="485">
        <f t="shared" si="15"/>
        <v>1378453.3031141157</v>
      </c>
      <c r="G43" s="486">
        <f t="shared" si="16"/>
        <v>239900.75901083695</v>
      </c>
      <c r="H43" s="455">
        <f t="shared" si="17"/>
        <v>239900.75901083695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3"/>
    </row>
    <row r="44" spans="2:16">
      <c r="B44" s="160" t="str">
        <f t="shared" si="6"/>
        <v/>
      </c>
      <c r="C44" s="472">
        <f>IF(D11="","-",+C43+1)</f>
        <v>2039</v>
      </c>
      <c r="D44" s="485">
        <f>IF(F43+SUM(E$17:E43)=D$10,F43,D$10-SUM(E$17:E43))</f>
        <v>1378453.3031141157</v>
      </c>
      <c r="E44" s="484">
        <f>IF(+I14&lt;F43,I14,D44)</f>
        <v>76878.305581395354</v>
      </c>
      <c r="F44" s="485">
        <f t="shared" si="15"/>
        <v>1301574.9975327204</v>
      </c>
      <c r="G44" s="486">
        <f t="shared" si="16"/>
        <v>231055.42290988774</v>
      </c>
      <c r="H44" s="455">
        <f t="shared" si="17"/>
        <v>231055.42290988774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3"/>
    </row>
    <row r="45" spans="2:16">
      <c r="B45" s="160" t="str">
        <f t="shared" si="6"/>
        <v/>
      </c>
      <c r="C45" s="472">
        <f>IF(D11="","-",+C44+1)</f>
        <v>2040</v>
      </c>
      <c r="D45" s="485">
        <f>IF(F44+SUM(E$17:E44)=D$10,F44,D$10-SUM(E$17:E44))</f>
        <v>1301574.9975327204</v>
      </c>
      <c r="E45" s="484">
        <f>IF(+I14&lt;F44,I14,D45)</f>
        <v>76878.305581395354</v>
      </c>
      <c r="F45" s="485">
        <f t="shared" si="15"/>
        <v>1224696.6919513252</v>
      </c>
      <c r="G45" s="486">
        <f t="shared" si="16"/>
        <v>222210.08680893859</v>
      </c>
      <c r="H45" s="455">
        <f t="shared" si="17"/>
        <v>222210.08680893859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3"/>
    </row>
    <row r="46" spans="2:16">
      <c r="B46" s="160" t="str">
        <f t="shared" si="6"/>
        <v/>
      </c>
      <c r="C46" s="472">
        <f>IF(D11="","-",+C45+1)</f>
        <v>2041</v>
      </c>
      <c r="D46" s="485">
        <f>IF(F45+SUM(E$17:E45)=D$10,F45,D$10-SUM(E$17:E45))</f>
        <v>1224696.6919513252</v>
      </c>
      <c r="E46" s="484">
        <f>IF(+I14&lt;F45,I14,D46)</f>
        <v>76878.305581395354</v>
      </c>
      <c r="F46" s="485">
        <f t="shared" si="15"/>
        <v>1147818.3863699299</v>
      </c>
      <c r="G46" s="486">
        <f t="shared" si="16"/>
        <v>213364.75070798938</v>
      </c>
      <c r="H46" s="455">
        <f t="shared" si="17"/>
        <v>213364.75070798938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3"/>
    </row>
    <row r="47" spans="2:16">
      <c r="B47" s="160" t="str">
        <f t="shared" si="6"/>
        <v/>
      </c>
      <c r="C47" s="472">
        <f>IF(D11="","-",+C46+1)</f>
        <v>2042</v>
      </c>
      <c r="D47" s="485">
        <f>IF(F46+SUM(E$17:E46)=D$10,F46,D$10-SUM(E$17:E46))</f>
        <v>1147818.3863699299</v>
      </c>
      <c r="E47" s="484">
        <f>IF(+I14&lt;F46,I14,D47)</f>
        <v>76878.305581395354</v>
      </c>
      <c r="F47" s="485">
        <f t="shared" si="15"/>
        <v>1070940.0807885346</v>
      </c>
      <c r="G47" s="486">
        <f t="shared" si="16"/>
        <v>204519.41460704023</v>
      </c>
      <c r="H47" s="455">
        <f t="shared" si="17"/>
        <v>204519.41460704023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3"/>
    </row>
    <row r="48" spans="2:16">
      <c r="B48" s="160" t="str">
        <f t="shared" si="6"/>
        <v/>
      </c>
      <c r="C48" s="472">
        <f>IF(D11="","-",+C47+1)</f>
        <v>2043</v>
      </c>
      <c r="D48" s="485">
        <f>IF(F47+SUM(E$17:E47)=D$10,F47,D$10-SUM(E$17:E47))</f>
        <v>1070940.0807885346</v>
      </c>
      <c r="E48" s="484">
        <f>IF(+I14&lt;F47,I14,D48)</f>
        <v>76878.305581395354</v>
      </c>
      <c r="F48" s="485">
        <f t="shared" si="15"/>
        <v>994061.7752071392</v>
      </c>
      <c r="G48" s="486">
        <f t="shared" si="16"/>
        <v>195674.07850609103</v>
      </c>
      <c r="H48" s="455">
        <f t="shared" si="17"/>
        <v>195674.07850609103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3"/>
    </row>
    <row r="49" spans="2:16">
      <c r="B49" s="160" t="str">
        <f t="shared" si="6"/>
        <v/>
      </c>
      <c r="C49" s="472">
        <f>IF(D11="","-",+C48+1)</f>
        <v>2044</v>
      </c>
      <c r="D49" s="485">
        <f>IF(F48+SUM(E$17:E48)=D$10,F48,D$10-SUM(E$17:E48))</f>
        <v>994061.7752071392</v>
      </c>
      <c r="E49" s="484">
        <f>IF(+I14&lt;F48,I14,D49)</f>
        <v>76878.305581395354</v>
      </c>
      <c r="F49" s="485">
        <f t="shared" ref="F49:F72" si="18">+D49-E49</f>
        <v>917183.4696257438</v>
      </c>
      <c r="G49" s="486">
        <f t="shared" si="16"/>
        <v>186828.74240514185</v>
      </c>
      <c r="H49" s="455">
        <f t="shared" si="17"/>
        <v>186828.74240514185</v>
      </c>
      <c r="I49" s="475">
        <f t="shared" ref="I49:I72" si="19">H49-G49</f>
        <v>0</v>
      </c>
      <c r="J49" s="475"/>
      <c r="K49" s="487"/>
      <c r="L49" s="478">
        <f t="shared" ref="L49:L72" si="20">IF(K49&lt;&gt;0,+G49-K49,0)</f>
        <v>0</v>
      </c>
      <c r="M49" s="487"/>
      <c r="N49" s="478">
        <f t="shared" ref="N49:N72" si="21">IF(M49&lt;&gt;0,+H49-M49,0)</f>
        <v>0</v>
      </c>
      <c r="O49" s="478">
        <f t="shared" ref="O49:O72" si="22">+N49-L49</f>
        <v>0</v>
      </c>
      <c r="P49" s="243"/>
    </row>
    <row r="50" spans="2:16">
      <c r="B50" s="160" t="str">
        <f t="shared" ref="B50:B72" si="23">IF(D50=F49,"","IU")</f>
        <v/>
      </c>
      <c r="C50" s="472">
        <f>IF(D11="","-",+C49+1)</f>
        <v>2045</v>
      </c>
      <c r="D50" s="485">
        <f>IF(F49+SUM(E$17:E49)=D$10,F49,D$10-SUM(E$17:E49))</f>
        <v>917183.4696257438</v>
      </c>
      <c r="E50" s="484">
        <f>IF(+I14&lt;F49,I14,D50)</f>
        <v>76878.305581395354</v>
      </c>
      <c r="F50" s="485">
        <f t="shared" si="18"/>
        <v>840305.16404434841</v>
      </c>
      <c r="G50" s="486">
        <f t="shared" si="16"/>
        <v>177983.40630419264</v>
      </c>
      <c r="H50" s="455">
        <f t="shared" si="17"/>
        <v>177983.40630419264</v>
      </c>
      <c r="I50" s="475">
        <f t="shared" si="19"/>
        <v>0</v>
      </c>
      <c r="J50" s="475"/>
      <c r="K50" s="487"/>
      <c r="L50" s="478">
        <f t="shared" si="20"/>
        <v>0</v>
      </c>
      <c r="M50" s="487"/>
      <c r="N50" s="478">
        <f t="shared" si="21"/>
        <v>0</v>
      </c>
      <c r="O50" s="478">
        <f t="shared" si="22"/>
        <v>0</v>
      </c>
      <c r="P50" s="243"/>
    </row>
    <row r="51" spans="2:16">
      <c r="B51" s="160" t="str">
        <f t="shared" si="23"/>
        <v/>
      </c>
      <c r="C51" s="472">
        <f>IF(D11="","-",+C50+1)</f>
        <v>2046</v>
      </c>
      <c r="D51" s="485">
        <f>IF(F50+SUM(E$17:E50)=D$10,F50,D$10-SUM(E$17:E50))</f>
        <v>840305.16404434841</v>
      </c>
      <c r="E51" s="484">
        <f>IF(+I14&lt;F50,I14,D51)</f>
        <v>76878.305581395354</v>
      </c>
      <c r="F51" s="485">
        <f t="shared" si="18"/>
        <v>763426.85846295301</v>
      </c>
      <c r="G51" s="486">
        <f t="shared" si="16"/>
        <v>169138.07020324346</v>
      </c>
      <c r="H51" s="455">
        <f t="shared" si="17"/>
        <v>169138.07020324346</v>
      </c>
      <c r="I51" s="475">
        <f t="shared" si="19"/>
        <v>0</v>
      </c>
      <c r="J51" s="475"/>
      <c r="K51" s="487"/>
      <c r="L51" s="478">
        <f t="shared" si="20"/>
        <v>0</v>
      </c>
      <c r="M51" s="487"/>
      <c r="N51" s="478">
        <f t="shared" si="21"/>
        <v>0</v>
      </c>
      <c r="O51" s="478">
        <f t="shared" si="22"/>
        <v>0</v>
      </c>
      <c r="P51" s="243"/>
    </row>
    <row r="52" spans="2:16">
      <c r="B52" s="160" t="str">
        <f t="shared" si="23"/>
        <v/>
      </c>
      <c r="C52" s="472">
        <f>IF(D11="","-",+C51+1)</f>
        <v>2047</v>
      </c>
      <c r="D52" s="485">
        <f>IF(F51+SUM(E$17:E51)=D$10,F51,D$10-SUM(E$17:E51))</f>
        <v>763426.85846295301</v>
      </c>
      <c r="E52" s="484">
        <f>IF(+I14&lt;F51,I14,D52)</f>
        <v>76878.305581395354</v>
      </c>
      <c r="F52" s="485">
        <f t="shared" si="18"/>
        <v>686548.55288155761</v>
      </c>
      <c r="G52" s="486">
        <f t="shared" si="16"/>
        <v>160292.73410229426</v>
      </c>
      <c r="H52" s="455">
        <f t="shared" si="17"/>
        <v>160292.73410229426</v>
      </c>
      <c r="I52" s="475">
        <f t="shared" si="19"/>
        <v>0</v>
      </c>
      <c r="J52" s="475"/>
      <c r="K52" s="487"/>
      <c r="L52" s="478">
        <f t="shared" si="20"/>
        <v>0</v>
      </c>
      <c r="M52" s="487"/>
      <c r="N52" s="478">
        <f t="shared" si="21"/>
        <v>0</v>
      </c>
      <c r="O52" s="478">
        <f t="shared" si="22"/>
        <v>0</v>
      </c>
      <c r="P52" s="243"/>
    </row>
    <row r="53" spans="2:16">
      <c r="B53" s="160" t="str">
        <f t="shared" si="23"/>
        <v/>
      </c>
      <c r="C53" s="472">
        <f>IF(D11="","-",+C52+1)</f>
        <v>2048</v>
      </c>
      <c r="D53" s="485">
        <f>IF(F52+SUM(E$17:E52)=D$10,F52,D$10-SUM(E$17:E52))</f>
        <v>686548.55288155761</v>
      </c>
      <c r="E53" s="484">
        <f>IF(+I14&lt;F52,I14,D53)</f>
        <v>76878.305581395354</v>
      </c>
      <c r="F53" s="485">
        <f t="shared" si="18"/>
        <v>609670.24730016221</v>
      </c>
      <c r="G53" s="486">
        <f t="shared" si="16"/>
        <v>151447.39800134505</v>
      </c>
      <c r="H53" s="455">
        <f t="shared" si="17"/>
        <v>151447.39800134505</v>
      </c>
      <c r="I53" s="475">
        <f t="shared" si="19"/>
        <v>0</v>
      </c>
      <c r="J53" s="475"/>
      <c r="K53" s="487"/>
      <c r="L53" s="478">
        <f t="shared" si="20"/>
        <v>0</v>
      </c>
      <c r="M53" s="487"/>
      <c r="N53" s="478">
        <f t="shared" si="21"/>
        <v>0</v>
      </c>
      <c r="O53" s="478">
        <f t="shared" si="22"/>
        <v>0</v>
      </c>
      <c r="P53" s="243"/>
    </row>
    <row r="54" spans="2:16">
      <c r="B54" s="160" t="str">
        <f t="shared" si="23"/>
        <v/>
      </c>
      <c r="C54" s="472">
        <f>IF(D11="","-",+C53+1)</f>
        <v>2049</v>
      </c>
      <c r="D54" s="485">
        <f>IF(F53+SUM(E$17:E53)=D$10,F53,D$10-SUM(E$17:E53))</f>
        <v>609670.24730016221</v>
      </c>
      <c r="E54" s="484">
        <f>IF(+I14&lt;F53,I14,D54)</f>
        <v>76878.305581395354</v>
      </c>
      <c r="F54" s="485">
        <f t="shared" si="18"/>
        <v>532791.94171876682</v>
      </c>
      <c r="G54" s="486">
        <f t="shared" si="16"/>
        <v>142602.06190039584</v>
      </c>
      <c r="H54" s="455">
        <f t="shared" si="17"/>
        <v>142602.06190039584</v>
      </c>
      <c r="I54" s="475">
        <f t="shared" si="19"/>
        <v>0</v>
      </c>
      <c r="J54" s="475"/>
      <c r="K54" s="487"/>
      <c r="L54" s="478">
        <f t="shared" si="20"/>
        <v>0</v>
      </c>
      <c r="M54" s="487"/>
      <c r="N54" s="478">
        <f t="shared" si="21"/>
        <v>0</v>
      </c>
      <c r="O54" s="478">
        <f t="shared" si="22"/>
        <v>0</v>
      </c>
      <c r="P54" s="243"/>
    </row>
    <row r="55" spans="2:16">
      <c r="B55" s="160" t="str">
        <f t="shared" si="23"/>
        <v/>
      </c>
      <c r="C55" s="472">
        <f>IF(D11="","-",+C54+1)</f>
        <v>2050</v>
      </c>
      <c r="D55" s="485">
        <f>IF(F54+SUM(E$17:E54)=D$10,F54,D$10-SUM(E$17:E54))</f>
        <v>532791.94171876682</v>
      </c>
      <c r="E55" s="484">
        <f>IF(+I14&lt;F54,I14,D55)</f>
        <v>76878.305581395354</v>
      </c>
      <c r="F55" s="485">
        <f t="shared" si="18"/>
        <v>455913.63613737148</v>
      </c>
      <c r="G55" s="486">
        <f t="shared" si="16"/>
        <v>133756.72579944669</v>
      </c>
      <c r="H55" s="455">
        <f t="shared" si="17"/>
        <v>133756.72579944669</v>
      </c>
      <c r="I55" s="475">
        <f t="shared" si="19"/>
        <v>0</v>
      </c>
      <c r="J55" s="475"/>
      <c r="K55" s="487"/>
      <c r="L55" s="478">
        <f t="shared" si="20"/>
        <v>0</v>
      </c>
      <c r="M55" s="487"/>
      <c r="N55" s="478">
        <f t="shared" si="21"/>
        <v>0</v>
      </c>
      <c r="O55" s="478">
        <f t="shared" si="22"/>
        <v>0</v>
      </c>
      <c r="P55" s="243"/>
    </row>
    <row r="56" spans="2:16">
      <c r="B56" s="160" t="str">
        <f t="shared" si="23"/>
        <v/>
      </c>
      <c r="C56" s="472">
        <f>IF(D11="","-",+C55+1)</f>
        <v>2051</v>
      </c>
      <c r="D56" s="485">
        <f>IF(F55+SUM(E$17:E55)=D$10,F55,D$10-SUM(E$17:E55))</f>
        <v>455913.63613737148</v>
      </c>
      <c r="E56" s="484">
        <f>IF(+I14&lt;F55,I14,D56)</f>
        <v>76878.305581395354</v>
      </c>
      <c r="F56" s="485">
        <f t="shared" si="18"/>
        <v>379035.33055597614</v>
      </c>
      <c r="G56" s="486">
        <f t="shared" si="16"/>
        <v>124911.38969849749</v>
      </c>
      <c r="H56" s="455">
        <f t="shared" si="17"/>
        <v>124911.38969849749</v>
      </c>
      <c r="I56" s="475">
        <f t="shared" si="19"/>
        <v>0</v>
      </c>
      <c r="J56" s="475"/>
      <c r="K56" s="487"/>
      <c r="L56" s="478">
        <f t="shared" si="20"/>
        <v>0</v>
      </c>
      <c r="M56" s="487"/>
      <c r="N56" s="478">
        <f t="shared" si="21"/>
        <v>0</v>
      </c>
      <c r="O56" s="478">
        <f t="shared" si="22"/>
        <v>0</v>
      </c>
      <c r="P56" s="243"/>
    </row>
    <row r="57" spans="2:16">
      <c r="B57" s="160" t="str">
        <f t="shared" si="23"/>
        <v/>
      </c>
      <c r="C57" s="472">
        <f>IF(D11="","-",+C56+1)</f>
        <v>2052</v>
      </c>
      <c r="D57" s="485">
        <f>IF(F56+SUM(E$17:E56)=D$10,F56,D$10-SUM(E$17:E56))</f>
        <v>379035.33055597614</v>
      </c>
      <c r="E57" s="484">
        <f>IF(+I14&lt;F56,I14,D57)</f>
        <v>76878.305581395354</v>
      </c>
      <c r="F57" s="485">
        <f t="shared" si="18"/>
        <v>302157.0249745808</v>
      </c>
      <c r="G57" s="486">
        <f t="shared" si="16"/>
        <v>116066.05359754831</v>
      </c>
      <c r="H57" s="455">
        <f t="shared" si="17"/>
        <v>116066.05359754831</v>
      </c>
      <c r="I57" s="475">
        <f t="shared" si="19"/>
        <v>0</v>
      </c>
      <c r="J57" s="475"/>
      <c r="K57" s="487"/>
      <c r="L57" s="478">
        <f t="shared" si="20"/>
        <v>0</v>
      </c>
      <c r="M57" s="487"/>
      <c r="N57" s="478">
        <f t="shared" si="21"/>
        <v>0</v>
      </c>
      <c r="O57" s="478">
        <f t="shared" si="22"/>
        <v>0</v>
      </c>
      <c r="P57" s="243"/>
    </row>
    <row r="58" spans="2:16">
      <c r="B58" s="160" t="str">
        <f t="shared" si="23"/>
        <v/>
      </c>
      <c r="C58" s="472">
        <f>IF(D11="","-",+C57+1)</f>
        <v>2053</v>
      </c>
      <c r="D58" s="485">
        <f>IF(F57+SUM(E$17:E57)=D$10,F57,D$10-SUM(E$17:E57))</f>
        <v>302157.0249745808</v>
      </c>
      <c r="E58" s="484">
        <f>IF(+I14&lt;F57,I14,D58)</f>
        <v>76878.305581395354</v>
      </c>
      <c r="F58" s="485">
        <f t="shared" si="18"/>
        <v>225278.71939318546</v>
      </c>
      <c r="G58" s="486">
        <f t="shared" si="16"/>
        <v>107220.7174965991</v>
      </c>
      <c r="H58" s="455">
        <f t="shared" si="17"/>
        <v>107220.7174965991</v>
      </c>
      <c r="I58" s="475">
        <f t="shared" si="19"/>
        <v>0</v>
      </c>
      <c r="J58" s="475"/>
      <c r="K58" s="487"/>
      <c r="L58" s="478">
        <f t="shared" si="20"/>
        <v>0</v>
      </c>
      <c r="M58" s="487"/>
      <c r="N58" s="478">
        <f t="shared" si="21"/>
        <v>0</v>
      </c>
      <c r="O58" s="478">
        <f t="shared" si="22"/>
        <v>0</v>
      </c>
      <c r="P58" s="243"/>
    </row>
    <row r="59" spans="2:16">
      <c r="B59" s="160" t="str">
        <f t="shared" si="23"/>
        <v/>
      </c>
      <c r="C59" s="472">
        <f>IF(D11="","-",+C58+1)</f>
        <v>2054</v>
      </c>
      <c r="D59" s="485">
        <f>IF(F58+SUM(E$17:E58)=D$10,F58,D$10-SUM(E$17:E58))</f>
        <v>225278.71939318546</v>
      </c>
      <c r="E59" s="484">
        <f>IF(+I14&lt;F58,I14,D59)</f>
        <v>76878.305581395354</v>
      </c>
      <c r="F59" s="485">
        <f t="shared" si="18"/>
        <v>148400.41381179012</v>
      </c>
      <c r="G59" s="486">
        <f t="shared" si="16"/>
        <v>98375.381395649922</v>
      </c>
      <c r="H59" s="455">
        <f t="shared" si="17"/>
        <v>98375.381395649922</v>
      </c>
      <c r="I59" s="475">
        <f t="shared" si="19"/>
        <v>0</v>
      </c>
      <c r="J59" s="475"/>
      <c r="K59" s="487"/>
      <c r="L59" s="478">
        <f t="shared" si="20"/>
        <v>0</v>
      </c>
      <c r="M59" s="487"/>
      <c r="N59" s="478">
        <f t="shared" si="21"/>
        <v>0</v>
      </c>
      <c r="O59" s="478">
        <f t="shared" si="22"/>
        <v>0</v>
      </c>
      <c r="P59" s="243"/>
    </row>
    <row r="60" spans="2:16">
      <c r="B60" s="160" t="str">
        <f t="shared" si="23"/>
        <v/>
      </c>
      <c r="C60" s="472">
        <f>IF(D11="","-",+C59+1)</f>
        <v>2055</v>
      </c>
      <c r="D60" s="485">
        <f>IF(F59+SUM(E$17:E59)=D$10,F59,D$10-SUM(E$17:E59))</f>
        <v>148400.41381179012</v>
      </c>
      <c r="E60" s="484">
        <f>IF(+I14&lt;F59,I14,D60)</f>
        <v>76878.305581395354</v>
      </c>
      <c r="F60" s="485">
        <f t="shared" si="18"/>
        <v>71522.108230394762</v>
      </c>
      <c r="G60" s="486">
        <f t="shared" si="16"/>
        <v>89530.045294700729</v>
      </c>
      <c r="H60" s="455">
        <f t="shared" si="17"/>
        <v>89530.045294700729</v>
      </c>
      <c r="I60" s="475">
        <f t="shared" si="19"/>
        <v>0</v>
      </c>
      <c r="J60" s="475"/>
      <c r="K60" s="487"/>
      <c r="L60" s="478">
        <f t="shared" si="20"/>
        <v>0</v>
      </c>
      <c r="M60" s="487"/>
      <c r="N60" s="478">
        <f t="shared" si="21"/>
        <v>0</v>
      </c>
      <c r="O60" s="478">
        <f t="shared" si="22"/>
        <v>0</v>
      </c>
      <c r="P60" s="243"/>
    </row>
    <row r="61" spans="2:16">
      <c r="B61" s="160" t="str">
        <f t="shared" si="23"/>
        <v/>
      </c>
      <c r="C61" s="472">
        <f>IF(D11="","-",+C60+1)</f>
        <v>2056</v>
      </c>
      <c r="D61" s="485">
        <f>IF(F60+SUM(E$17:E60)=D$10,F60,D$10-SUM(E$17:E60))</f>
        <v>71522.108230394762</v>
      </c>
      <c r="E61" s="484">
        <f>IF(+I14&lt;F60,I14,D61)</f>
        <v>71522.108230394762</v>
      </c>
      <c r="F61" s="485">
        <f t="shared" si="18"/>
        <v>0</v>
      </c>
      <c r="G61" s="486">
        <f t="shared" si="16"/>
        <v>75636.644061810148</v>
      </c>
      <c r="H61" s="455">
        <f t="shared" si="17"/>
        <v>75636.644061810148</v>
      </c>
      <c r="I61" s="475">
        <f t="shared" si="19"/>
        <v>0</v>
      </c>
      <c r="J61" s="475"/>
      <c r="K61" s="487"/>
      <c r="L61" s="478">
        <f t="shared" si="20"/>
        <v>0</v>
      </c>
      <c r="M61" s="487"/>
      <c r="N61" s="478">
        <f t="shared" si="21"/>
        <v>0</v>
      </c>
      <c r="O61" s="478">
        <f t="shared" si="22"/>
        <v>0</v>
      </c>
      <c r="P61" s="243"/>
    </row>
    <row r="62" spans="2:16">
      <c r="B62" s="160" t="str">
        <f t="shared" si="23"/>
        <v/>
      </c>
      <c r="C62" s="472">
        <f>IF(D11="","-",+C61+1)</f>
        <v>2057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18"/>
        <v>0</v>
      </c>
      <c r="G62" s="486">
        <f t="shared" si="16"/>
        <v>0</v>
      </c>
      <c r="H62" s="455">
        <f t="shared" si="17"/>
        <v>0</v>
      </c>
      <c r="I62" s="475">
        <f t="shared" si="19"/>
        <v>0</v>
      </c>
      <c r="J62" s="475"/>
      <c r="K62" s="487"/>
      <c r="L62" s="478">
        <f t="shared" si="20"/>
        <v>0</v>
      </c>
      <c r="M62" s="487"/>
      <c r="N62" s="478">
        <f t="shared" si="21"/>
        <v>0</v>
      </c>
      <c r="O62" s="478">
        <f t="shared" si="22"/>
        <v>0</v>
      </c>
      <c r="P62" s="243"/>
    </row>
    <row r="63" spans="2:16">
      <c r="B63" s="160" t="str">
        <f t="shared" si="23"/>
        <v/>
      </c>
      <c r="C63" s="472">
        <f>IF(D11="","-",+C62+1)</f>
        <v>2058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8"/>
        <v>0</v>
      </c>
      <c r="G63" s="486">
        <f t="shared" si="16"/>
        <v>0</v>
      </c>
      <c r="H63" s="455">
        <f t="shared" si="17"/>
        <v>0</v>
      </c>
      <c r="I63" s="475">
        <f t="shared" si="19"/>
        <v>0</v>
      </c>
      <c r="J63" s="475"/>
      <c r="K63" s="487"/>
      <c r="L63" s="478">
        <f t="shared" si="20"/>
        <v>0</v>
      </c>
      <c r="M63" s="487"/>
      <c r="N63" s="478">
        <f t="shared" si="21"/>
        <v>0</v>
      </c>
      <c r="O63" s="478">
        <f t="shared" si="22"/>
        <v>0</v>
      </c>
      <c r="P63" s="243"/>
    </row>
    <row r="64" spans="2:16">
      <c r="B64" s="160" t="str">
        <f t="shared" si="23"/>
        <v/>
      </c>
      <c r="C64" s="472">
        <f>IF(D11="","-",+C63+1)</f>
        <v>2059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8"/>
        <v>0</v>
      </c>
      <c r="G64" s="486">
        <f t="shared" si="16"/>
        <v>0</v>
      </c>
      <c r="H64" s="455">
        <f t="shared" si="17"/>
        <v>0</v>
      </c>
      <c r="I64" s="475">
        <f t="shared" si="19"/>
        <v>0</v>
      </c>
      <c r="J64" s="475"/>
      <c r="K64" s="487"/>
      <c r="L64" s="478">
        <f t="shared" si="20"/>
        <v>0</v>
      </c>
      <c r="M64" s="487"/>
      <c r="N64" s="478">
        <f t="shared" si="21"/>
        <v>0</v>
      </c>
      <c r="O64" s="478">
        <f t="shared" si="22"/>
        <v>0</v>
      </c>
      <c r="P64" s="243"/>
    </row>
    <row r="65" spans="2:16">
      <c r="B65" s="160" t="str">
        <f t="shared" si="23"/>
        <v/>
      </c>
      <c r="C65" s="472">
        <f>IF(D11="","-",+C64+1)</f>
        <v>2060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8"/>
        <v>0</v>
      </c>
      <c r="G65" s="486">
        <f t="shared" si="16"/>
        <v>0</v>
      </c>
      <c r="H65" s="455">
        <f t="shared" si="17"/>
        <v>0</v>
      </c>
      <c r="I65" s="475">
        <f t="shared" si="19"/>
        <v>0</v>
      </c>
      <c r="J65" s="475"/>
      <c r="K65" s="487"/>
      <c r="L65" s="478">
        <f t="shared" si="20"/>
        <v>0</v>
      </c>
      <c r="M65" s="487"/>
      <c r="N65" s="478">
        <f t="shared" si="21"/>
        <v>0</v>
      </c>
      <c r="O65" s="478">
        <f t="shared" si="22"/>
        <v>0</v>
      </c>
      <c r="P65" s="243"/>
    </row>
    <row r="66" spans="2:16">
      <c r="B66" s="160" t="str">
        <f t="shared" si="23"/>
        <v/>
      </c>
      <c r="C66" s="472">
        <f>IF(D11="","-",+C65+1)</f>
        <v>2061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8"/>
        <v>0</v>
      </c>
      <c r="G66" s="486">
        <f t="shared" si="16"/>
        <v>0</v>
      </c>
      <c r="H66" s="455">
        <f t="shared" si="17"/>
        <v>0</v>
      </c>
      <c r="I66" s="475">
        <f t="shared" si="19"/>
        <v>0</v>
      </c>
      <c r="J66" s="475"/>
      <c r="K66" s="487"/>
      <c r="L66" s="478">
        <f t="shared" si="20"/>
        <v>0</v>
      </c>
      <c r="M66" s="487"/>
      <c r="N66" s="478">
        <f t="shared" si="21"/>
        <v>0</v>
      </c>
      <c r="O66" s="478">
        <f t="shared" si="22"/>
        <v>0</v>
      </c>
      <c r="P66" s="243"/>
    </row>
    <row r="67" spans="2:16">
      <c r="B67" s="160" t="str">
        <f t="shared" si="23"/>
        <v/>
      </c>
      <c r="C67" s="472">
        <f>IF(D11="","-",+C66+1)</f>
        <v>2062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8"/>
        <v>0</v>
      </c>
      <c r="G67" s="486">
        <f t="shared" si="16"/>
        <v>0</v>
      </c>
      <c r="H67" s="455">
        <f t="shared" si="17"/>
        <v>0</v>
      </c>
      <c r="I67" s="475">
        <f t="shared" si="19"/>
        <v>0</v>
      </c>
      <c r="J67" s="475"/>
      <c r="K67" s="487"/>
      <c r="L67" s="478">
        <f t="shared" si="20"/>
        <v>0</v>
      </c>
      <c r="M67" s="487"/>
      <c r="N67" s="478">
        <f t="shared" si="21"/>
        <v>0</v>
      </c>
      <c r="O67" s="478">
        <f t="shared" si="22"/>
        <v>0</v>
      </c>
      <c r="P67" s="243"/>
    </row>
    <row r="68" spans="2:16">
      <c r="B68" s="160" t="str">
        <f t="shared" si="23"/>
        <v/>
      </c>
      <c r="C68" s="472">
        <f>IF(D11="","-",+C67+1)</f>
        <v>2063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8"/>
        <v>0</v>
      </c>
      <c r="G68" s="486">
        <f t="shared" si="16"/>
        <v>0</v>
      </c>
      <c r="H68" s="455">
        <f t="shared" si="17"/>
        <v>0</v>
      </c>
      <c r="I68" s="475">
        <f t="shared" si="19"/>
        <v>0</v>
      </c>
      <c r="J68" s="475"/>
      <c r="K68" s="487"/>
      <c r="L68" s="478">
        <f t="shared" si="20"/>
        <v>0</v>
      </c>
      <c r="M68" s="487"/>
      <c r="N68" s="478">
        <f t="shared" si="21"/>
        <v>0</v>
      </c>
      <c r="O68" s="478">
        <f t="shared" si="22"/>
        <v>0</v>
      </c>
      <c r="P68" s="243"/>
    </row>
    <row r="69" spans="2:16">
      <c r="B69" s="160" t="str">
        <f t="shared" si="23"/>
        <v/>
      </c>
      <c r="C69" s="472">
        <f>IF(D11="","-",+C68+1)</f>
        <v>2064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8"/>
        <v>0</v>
      </c>
      <c r="G69" s="486">
        <f t="shared" si="16"/>
        <v>0</v>
      </c>
      <c r="H69" s="455">
        <f t="shared" si="17"/>
        <v>0</v>
      </c>
      <c r="I69" s="475">
        <f t="shared" si="19"/>
        <v>0</v>
      </c>
      <c r="J69" s="475"/>
      <c r="K69" s="487"/>
      <c r="L69" s="478">
        <f t="shared" si="20"/>
        <v>0</v>
      </c>
      <c r="M69" s="487"/>
      <c r="N69" s="478">
        <f t="shared" si="21"/>
        <v>0</v>
      </c>
      <c r="O69" s="478">
        <f t="shared" si="22"/>
        <v>0</v>
      </c>
      <c r="P69" s="243"/>
    </row>
    <row r="70" spans="2:16">
      <c r="B70" s="160" t="str">
        <f t="shared" si="23"/>
        <v/>
      </c>
      <c r="C70" s="472">
        <f>IF(D11="","-",+C69+1)</f>
        <v>2065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8"/>
        <v>0</v>
      </c>
      <c r="G70" s="486">
        <f t="shared" si="16"/>
        <v>0</v>
      </c>
      <c r="H70" s="455">
        <f t="shared" si="17"/>
        <v>0</v>
      </c>
      <c r="I70" s="475">
        <f t="shared" si="19"/>
        <v>0</v>
      </c>
      <c r="J70" s="475"/>
      <c r="K70" s="487"/>
      <c r="L70" s="478">
        <f t="shared" si="20"/>
        <v>0</v>
      </c>
      <c r="M70" s="487"/>
      <c r="N70" s="478">
        <f t="shared" si="21"/>
        <v>0</v>
      </c>
      <c r="O70" s="478">
        <f t="shared" si="22"/>
        <v>0</v>
      </c>
      <c r="P70" s="243"/>
    </row>
    <row r="71" spans="2:16">
      <c r="B71" s="160" t="str">
        <f t="shared" si="23"/>
        <v/>
      </c>
      <c r="C71" s="472">
        <f>IF(D11="","-",+C70+1)</f>
        <v>2066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8"/>
        <v>0</v>
      </c>
      <c r="G71" s="486">
        <f t="shared" si="16"/>
        <v>0</v>
      </c>
      <c r="H71" s="455">
        <f t="shared" si="17"/>
        <v>0</v>
      </c>
      <c r="I71" s="475">
        <f t="shared" si="19"/>
        <v>0</v>
      </c>
      <c r="J71" s="475"/>
      <c r="K71" s="487"/>
      <c r="L71" s="478">
        <f t="shared" si="20"/>
        <v>0</v>
      </c>
      <c r="M71" s="487"/>
      <c r="N71" s="478">
        <f t="shared" si="21"/>
        <v>0</v>
      </c>
      <c r="O71" s="478">
        <f t="shared" si="22"/>
        <v>0</v>
      </c>
      <c r="P71" s="243"/>
    </row>
    <row r="72" spans="2:16" ht="13.5" thickBot="1">
      <c r="B72" s="160" t="str">
        <f t="shared" si="23"/>
        <v/>
      </c>
      <c r="C72" s="489">
        <f>IF(D11="","-",+C71+1)</f>
        <v>2067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8"/>
        <v>0</v>
      </c>
      <c r="G72" s="490">
        <f t="shared" si="16"/>
        <v>0</v>
      </c>
      <c r="H72" s="490">
        <f t="shared" si="17"/>
        <v>0</v>
      </c>
      <c r="I72" s="493">
        <f t="shared" si="19"/>
        <v>0</v>
      </c>
      <c r="J72" s="475"/>
      <c r="K72" s="494"/>
      <c r="L72" s="495">
        <f t="shared" si="20"/>
        <v>0</v>
      </c>
      <c r="M72" s="494"/>
      <c r="N72" s="495">
        <f t="shared" si="21"/>
        <v>0</v>
      </c>
      <c r="O72" s="495">
        <f t="shared" si="22"/>
        <v>0</v>
      </c>
      <c r="P72" s="243"/>
    </row>
    <row r="73" spans="2:16">
      <c r="C73" s="347" t="s">
        <v>77</v>
      </c>
      <c r="D73" s="348"/>
      <c r="E73" s="348">
        <f>SUM(E17:E72)</f>
        <v>3305767.1400000015</v>
      </c>
      <c r="F73" s="348"/>
      <c r="G73" s="348">
        <f>SUM(G17:G72)</f>
        <v>12256233.873040875</v>
      </c>
      <c r="H73" s="348">
        <f>SUM(H17:H72)</f>
        <v>12256233.873040875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12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365431.30558139534</v>
      </c>
      <c r="N87" s="508">
        <f>IF(J92&lt;D11,0,VLOOKUP(J92,C17:O72,11))</f>
        <v>365431.30558139534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387439.55828621471</v>
      </c>
      <c r="N88" s="512">
        <f>IF(J92&lt;D11,0,VLOOKUP(J92,C99:P154,7))</f>
        <v>387439.55828621471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Canadian River - McAlester City 138 kV Line Conversion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22008.252704819373</v>
      </c>
      <c r="N89" s="517">
        <f>+N88-N87</f>
        <v>22008.252704819373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TP2009095-PSO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f>+D10</f>
        <v>3305767.14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v>2012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8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80628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470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2012</v>
      </c>
      <c r="D99" s="578">
        <f>IF(D93=C99,0,D92)</f>
        <v>0</v>
      </c>
      <c r="E99" s="579">
        <v>1616</v>
      </c>
      <c r="F99" s="580">
        <v>502209</v>
      </c>
      <c r="G99" s="581">
        <v>251209</v>
      </c>
      <c r="H99" s="582">
        <v>37753</v>
      </c>
      <c r="I99" s="583">
        <v>37753</v>
      </c>
      <c r="J99" s="478">
        <f t="shared" ref="J99:J130" si="24">+I99-H99</f>
        <v>0</v>
      </c>
      <c r="K99" s="574"/>
      <c r="L99" s="567">
        <f t="shared" ref="L99:L104" si="25">H99</f>
        <v>37753</v>
      </c>
      <c r="M99" s="575">
        <f t="shared" ref="M99:M104" si="26">IF(L99&lt;&gt;0,+H99-L99,0)</f>
        <v>0</v>
      </c>
      <c r="N99" s="567">
        <f t="shared" ref="N99:N104" si="27">I99</f>
        <v>37753</v>
      </c>
      <c r="O99" s="349">
        <f t="shared" ref="O99:O104" si="28">IF(N99&lt;&gt;0,+I99-N99,0)</f>
        <v>0</v>
      </c>
      <c r="P99" s="477">
        <f t="shared" ref="P99:P104" si="29">+O99-M99</f>
        <v>0</v>
      </c>
    </row>
    <row r="100" spans="1:16">
      <c r="B100" s="160" t="str">
        <f t="shared" ref="B100:B131" si="30">IF(D100=F99,"","IU")</f>
        <v>IU</v>
      </c>
      <c r="C100" s="472">
        <f>IF(D93="","-",+C99+1)</f>
        <v>2013</v>
      </c>
      <c r="D100" s="584">
        <v>3240518</v>
      </c>
      <c r="E100" s="585">
        <v>62349</v>
      </c>
      <c r="F100" s="586">
        <v>3178169</v>
      </c>
      <c r="G100" s="586">
        <v>3209343.5</v>
      </c>
      <c r="H100" s="585">
        <v>524300.60020262119</v>
      </c>
      <c r="I100" s="587">
        <v>524300.60020262119</v>
      </c>
      <c r="J100" s="478">
        <v>0</v>
      </c>
      <c r="K100" s="574"/>
      <c r="L100" s="540">
        <f t="shared" si="25"/>
        <v>524300.60020262119</v>
      </c>
      <c r="M100" s="575">
        <f t="shared" si="26"/>
        <v>0</v>
      </c>
      <c r="N100" s="540">
        <f t="shared" si="27"/>
        <v>524300.60020262119</v>
      </c>
      <c r="O100" s="349">
        <f t="shared" si="28"/>
        <v>0</v>
      </c>
      <c r="P100" s="478">
        <f t="shared" si="29"/>
        <v>0</v>
      </c>
    </row>
    <row r="101" spans="1:16">
      <c r="B101" s="160" t="str">
        <f t="shared" si="30"/>
        <v>IU</v>
      </c>
      <c r="C101" s="472">
        <f>IF(D93="","-",+C100+1)</f>
        <v>2014</v>
      </c>
      <c r="D101" s="584">
        <v>3241802.14</v>
      </c>
      <c r="E101" s="585">
        <v>63572</v>
      </c>
      <c r="F101" s="586">
        <v>3178230.14</v>
      </c>
      <c r="G101" s="586">
        <v>3210016.14</v>
      </c>
      <c r="H101" s="585">
        <v>514887.14751698606</v>
      </c>
      <c r="I101" s="587">
        <v>514887.14751698606</v>
      </c>
      <c r="J101" s="478">
        <v>0</v>
      </c>
      <c r="K101" s="574"/>
      <c r="L101" s="540">
        <f t="shared" si="25"/>
        <v>514887.14751698606</v>
      </c>
      <c r="M101" s="575">
        <f t="shared" si="26"/>
        <v>0</v>
      </c>
      <c r="N101" s="540">
        <f t="shared" si="27"/>
        <v>514887.14751698606</v>
      </c>
      <c r="O101" s="349">
        <f t="shared" si="28"/>
        <v>0</v>
      </c>
      <c r="P101" s="478">
        <f t="shared" si="29"/>
        <v>0</v>
      </c>
    </row>
    <row r="102" spans="1:16">
      <c r="B102" s="160" t="str">
        <f t="shared" si="30"/>
        <v/>
      </c>
      <c r="C102" s="472">
        <f>IF(D93="","-",+C101+1)</f>
        <v>2015</v>
      </c>
      <c r="D102" s="584">
        <v>3178230.14</v>
      </c>
      <c r="E102" s="585">
        <v>63572</v>
      </c>
      <c r="F102" s="586">
        <v>3114658.14</v>
      </c>
      <c r="G102" s="586">
        <v>3146444.14</v>
      </c>
      <c r="H102" s="585">
        <v>492879.0042454137</v>
      </c>
      <c r="I102" s="587">
        <v>492879.0042454137</v>
      </c>
      <c r="J102" s="478">
        <f t="shared" si="24"/>
        <v>0</v>
      </c>
      <c r="K102" s="478"/>
      <c r="L102" s="540">
        <f t="shared" si="25"/>
        <v>492879.0042454137</v>
      </c>
      <c r="M102" s="575">
        <f t="shared" si="26"/>
        <v>0</v>
      </c>
      <c r="N102" s="540">
        <f t="shared" si="27"/>
        <v>492879.0042454137</v>
      </c>
      <c r="O102" s="349">
        <f t="shared" si="28"/>
        <v>0</v>
      </c>
      <c r="P102" s="478">
        <f t="shared" si="29"/>
        <v>0</v>
      </c>
    </row>
    <row r="103" spans="1:16">
      <c r="B103" s="160" t="str">
        <f t="shared" si="30"/>
        <v/>
      </c>
      <c r="C103" s="472">
        <f>IF(D93="","-",+C102+1)</f>
        <v>2016</v>
      </c>
      <c r="D103" s="584">
        <v>3114658.14</v>
      </c>
      <c r="E103" s="585">
        <v>71865</v>
      </c>
      <c r="F103" s="586">
        <v>3042793.14</v>
      </c>
      <c r="G103" s="586">
        <v>3078725.64</v>
      </c>
      <c r="H103" s="585">
        <v>468761.221459263</v>
      </c>
      <c r="I103" s="587">
        <v>468761.221459263</v>
      </c>
      <c r="J103" s="478">
        <f t="shared" si="24"/>
        <v>0</v>
      </c>
      <c r="K103" s="478"/>
      <c r="L103" s="540">
        <f t="shared" si="25"/>
        <v>468761.221459263</v>
      </c>
      <c r="M103" s="575">
        <f t="shared" si="26"/>
        <v>0</v>
      </c>
      <c r="N103" s="540">
        <f t="shared" si="27"/>
        <v>468761.221459263</v>
      </c>
      <c r="O103" s="349">
        <f t="shared" si="28"/>
        <v>0</v>
      </c>
      <c r="P103" s="478">
        <f t="shared" si="29"/>
        <v>0</v>
      </c>
    </row>
    <row r="104" spans="1:16">
      <c r="B104" s="160" t="str">
        <f t="shared" si="30"/>
        <v/>
      </c>
      <c r="C104" s="472">
        <f>IF(D93="","-",+C103+1)</f>
        <v>2017</v>
      </c>
      <c r="D104" s="584">
        <v>3042793.14</v>
      </c>
      <c r="E104" s="585">
        <v>71865</v>
      </c>
      <c r="F104" s="586">
        <v>2970928.14</v>
      </c>
      <c r="G104" s="586">
        <v>3006860.64</v>
      </c>
      <c r="H104" s="585">
        <v>453292.85398579738</v>
      </c>
      <c r="I104" s="587">
        <v>453292.85398579738</v>
      </c>
      <c r="J104" s="478">
        <f t="shared" si="24"/>
        <v>0</v>
      </c>
      <c r="K104" s="478"/>
      <c r="L104" s="540">
        <f t="shared" si="25"/>
        <v>453292.85398579738</v>
      </c>
      <c r="M104" s="575">
        <f t="shared" si="26"/>
        <v>0</v>
      </c>
      <c r="N104" s="540">
        <f t="shared" si="27"/>
        <v>453292.85398579738</v>
      </c>
      <c r="O104" s="349">
        <f t="shared" si="28"/>
        <v>0</v>
      </c>
      <c r="P104" s="478">
        <f t="shared" si="29"/>
        <v>0</v>
      </c>
    </row>
    <row r="105" spans="1:16">
      <c r="B105" s="160" t="str">
        <f t="shared" si="30"/>
        <v/>
      </c>
      <c r="C105" s="472">
        <f>IF(D93="","-",+C104+1)</f>
        <v>2018</v>
      </c>
      <c r="D105" s="584">
        <v>2970928.14</v>
      </c>
      <c r="E105" s="585">
        <v>76878</v>
      </c>
      <c r="F105" s="586">
        <v>2894050.14</v>
      </c>
      <c r="G105" s="586">
        <v>2932489.14</v>
      </c>
      <c r="H105" s="585">
        <v>378148.93401168124</v>
      </c>
      <c r="I105" s="587">
        <v>378148.93401168124</v>
      </c>
      <c r="J105" s="478">
        <f t="shared" si="24"/>
        <v>0</v>
      </c>
      <c r="K105" s="478"/>
      <c r="L105" s="540">
        <f t="shared" ref="L105" si="31">H105</f>
        <v>378148.93401168124</v>
      </c>
      <c r="M105" s="575">
        <f t="shared" ref="M105" si="32">IF(L105&lt;&gt;0,+H105-L105,0)</f>
        <v>0</v>
      </c>
      <c r="N105" s="540">
        <f t="shared" ref="N105" si="33">I105</f>
        <v>378148.93401168124</v>
      </c>
      <c r="O105" s="349">
        <f t="shared" ref="O105" si="34">IF(N105&lt;&gt;0,+I105-N105,0)</f>
        <v>0</v>
      </c>
      <c r="P105" s="478">
        <f t="shared" ref="P105" si="35">+O105-M105</f>
        <v>0</v>
      </c>
    </row>
    <row r="106" spans="1:16">
      <c r="B106" s="160" t="str">
        <f t="shared" si="30"/>
        <v/>
      </c>
      <c r="C106" s="472">
        <f>IF(D93="","-",+C105+1)</f>
        <v>2019</v>
      </c>
      <c r="D106" s="584">
        <v>2894050.14</v>
      </c>
      <c r="E106" s="585">
        <v>80628</v>
      </c>
      <c r="F106" s="586">
        <v>2813422.14</v>
      </c>
      <c r="G106" s="586">
        <v>2853736.14</v>
      </c>
      <c r="H106" s="585">
        <v>374888.22276719729</v>
      </c>
      <c r="I106" s="587">
        <v>374888.22276719729</v>
      </c>
      <c r="J106" s="478">
        <f t="shared" si="24"/>
        <v>0</v>
      </c>
      <c r="K106" s="478"/>
      <c r="L106" s="540">
        <f t="shared" ref="L106" si="36">H106</f>
        <v>374888.22276719729</v>
      </c>
      <c r="M106" s="575">
        <f t="shared" ref="M106" si="37">IF(L106&lt;&gt;0,+H106-L106,0)</f>
        <v>0</v>
      </c>
      <c r="N106" s="540">
        <f t="shared" ref="N106" si="38">I106</f>
        <v>374888.22276719729</v>
      </c>
      <c r="O106" s="478">
        <f t="shared" ref="O106:O130" si="39">IF(N106&lt;&gt;0,+I106-N106,0)</f>
        <v>0</v>
      </c>
      <c r="P106" s="478">
        <f t="shared" ref="P106:P130" si="40">+O106-M106</f>
        <v>0</v>
      </c>
    </row>
    <row r="107" spans="1:16">
      <c r="B107" s="160" t="str">
        <f t="shared" si="30"/>
        <v/>
      </c>
      <c r="C107" s="472">
        <f>IF(D93="","-",+C106+1)</f>
        <v>2020</v>
      </c>
      <c r="D107" s="584">
        <v>2813422.14</v>
      </c>
      <c r="E107" s="585">
        <v>76878</v>
      </c>
      <c r="F107" s="586">
        <v>2736544.14</v>
      </c>
      <c r="G107" s="586">
        <v>2774983.14</v>
      </c>
      <c r="H107" s="585">
        <v>396825.92685492127</v>
      </c>
      <c r="I107" s="587">
        <v>396825.92685492127</v>
      </c>
      <c r="J107" s="478">
        <f t="shared" si="24"/>
        <v>0</v>
      </c>
      <c r="K107" s="478"/>
      <c r="L107" s="540">
        <f t="shared" ref="L107" si="41">H107</f>
        <v>396825.92685492127</v>
      </c>
      <c r="M107" s="575">
        <f t="shared" ref="M107" si="42">IF(L107&lt;&gt;0,+H107-L107,0)</f>
        <v>0</v>
      </c>
      <c r="N107" s="540">
        <f t="shared" ref="N107" si="43">I107</f>
        <v>396825.92685492127</v>
      </c>
      <c r="O107" s="478">
        <f t="shared" si="39"/>
        <v>0</v>
      </c>
      <c r="P107" s="478">
        <f t="shared" si="40"/>
        <v>0</v>
      </c>
    </row>
    <row r="108" spans="1:16">
      <c r="B108" s="160" t="str">
        <f t="shared" si="30"/>
        <v/>
      </c>
      <c r="C108" s="472">
        <f>IF(D93="","-",+C107+1)</f>
        <v>2021</v>
      </c>
      <c r="D108" s="347">
        <f>IF(F107+SUM(E$99:E107)=D$92,F107,D$92-SUM(E$99:E107))</f>
        <v>2736544.14</v>
      </c>
      <c r="E108" s="486">
        <f t="shared" ref="E108:E154" si="44">IF(+J$96&lt;F107,J$96,D108)</f>
        <v>80628</v>
      </c>
      <c r="F108" s="485">
        <f t="shared" ref="F108:F154" si="45">+D108-E108</f>
        <v>2655916.14</v>
      </c>
      <c r="G108" s="485">
        <f t="shared" ref="G108:G154" si="46">+(F108+D108)/2</f>
        <v>2696230.14</v>
      </c>
      <c r="H108" s="486">
        <f t="shared" ref="H108:H153" si="47">(D108+F108)/2*J$94+E108</f>
        <v>387439.55828621471</v>
      </c>
      <c r="I108" s="542">
        <f t="shared" ref="I108:I153" si="48">+J$95*G108+E108</f>
        <v>387439.55828621471</v>
      </c>
      <c r="J108" s="478">
        <f t="shared" si="24"/>
        <v>0</v>
      </c>
      <c r="K108" s="478"/>
      <c r="L108" s="487"/>
      <c r="M108" s="478">
        <f t="shared" ref="M108:M130" si="49">IF(L108&lt;&gt;0,+H108-L108,0)</f>
        <v>0</v>
      </c>
      <c r="N108" s="487"/>
      <c r="O108" s="478">
        <f t="shared" si="39"/>
        <v>0</v>
      </c>
      <c r="P108" s="478">
        <f t="shared" si="40"/>
        <v>0</v>
      </c>
    </row>
    <row r="109" spans="1:16">
      <c r="B109" s="160" t="str">
        <f t="shared" si="30"/>
        <v/>
      </c>
      <c r="C109" s="472">
        <f>IF(D93="","-",+C108+1)</f>
        <v>2022</v>
      </c>
      <c r="D109" s="347">
        <f>IF(F108+SUM(E$99:E108)=D$92,F108,D$92-SUM(E$99:E108))</f>
        <v>2655916.14</v>
      </c>
      <c r="E109" s="486">
        <f t="shared" si="44"/>
        <v>80628</v>
      </c>
      <c r="F109" s="485">
        <f t="shared" si="45"/>
        <v>2575288.14</v>
      </c>
      <c r="G109" s="485">
        <f t="shared" si="46"/>
        <v>2615602.14</v>
      </c>
      <c r="H109" s="486">
        <f t="shared" si="47"/>
        <v>378264.67296967382</v>
      </c>
      <c r="I109" s="542">
        <f t="shared" si="48"/>
        <v>378264.67296967382</v>
      </c>
      <c r="J109" s="478">
        <f t="shared" si="24"/>
        <v>0</v>
      </c>
      <c r="K109" s="478"/>
      <c r="L109" s="487"/>
      <c r="M109" s="478">
        <f t="shared" si="49"/>
        <v>0</v>
      </c>
      <c r="N109" s="487"/>
      <c r="O109" s="478">
        <f t="shared" si="39"/>
        <v>0</v>
      </c>
      <c r="P109" s="478">
        <f t="shared" si="40"/>
        <v>0</v>
      </c>
    </row>
    <row r="110" spans="1:16">
      <c r="B110" s="160" t="str">
        <f t="shared" si="30"/>
        <v/>
      </c>
      <c r="C110" s="472">
        <f>IF(D93="","-",+C109+1)</f>
        <v>2023</v>
      </c>
      <c r="D110" s="347">
        <f>IF(F109+SUM(E$99:E109)=D$92,F109,D$92-SUM(E$99:E109))</f>
        <v>2575288.14</v>
      </c>
      <c r="E110" s="486">
        <f t="shared" si="44"/>
        <v>80628</v>
      </c>
      <c r="F110" s="485">
        <f t="shared" si="45"/>
        <v>2494660.14</v>
      </c>
      <c r="G110" s="485">
        <f t="shared" si="46"/>
        <v>2534974.14</v>
      </c>
      <c r="H110" s="486">
        <f t="shared" si="47"/>
        <v>369089.78765313298</v>
      </c>
      <c r="I110" s="542">
        <f t="shared" si="48"/>
        <v>369089.78765313298</v>
      </c>
      <c r="J110" s="478">
        <f t="shared" si="24"/>
        <v>0</v>
      </c>
      <c r="K110" s="478"/>
      <c r="L110" s="487"/>
      <c r="M110" s="478">
        <f t="shared" si="49"/>
        <v>0</v>
      </c>
      <c r="N110" s="487"/>
      <c r="O110" s="478">
        <f t="shared" si="39"/>
        <v>0</v>
      </c>
      <c r="P110" s="478">
        <f t="shared" si="40"/>
        <v>0</v>
      </c>
    </row>
    <row r="111" spans="1:16">
      <c r="B111" s="160" t="str">
        <f t="shared" si="30"/>
        <v/>
      </c>
      <c r="C111" s="472">
        <f>IF(D93="","-",+C110+1)</f>
        <v>2024</v>
      </c>
      <c r="D111" s="347">
        <f>IF(F110+SUM(E$99:E110)=D$92,F110,D$92-SUM(E$99:E110))</f>
        <v>2494660.14</v>
      </c>
      <c r="E111" s="486">
        <f t="shared" si="44"/>
        <v>80628</v>
      </c>
      <c r="F111" s="485">
        <f t="shared" si="45"/>
        <v>2414032.14</v>
      </c>
      <c r="G111" s="485">
        <f t="shared" si="46"/>
        <v>2454346.14</v>
      </c>
      <c r="H111" s="486">
        <f t="shared" si="47"/>
        <v>359914.90233659209</v>
      </c>
      <c r="I111" s="542">
        <f t="shared" si="48"/>
        <v>359914.90233659209</v>
      </c>
      <c r="J111" s="478">
        <f t="shared" si="24"/>
        <v>0</v>
      </c>
      <c r="K111" s="478"/>
      <c r="L111" s="487"/>
      <c r="M111" s="478">
        <f t="shared" si="49"/>
        <v>0</v>
      </c>
      <c r="N111" s="487"/>
      <c r="O111" s="478">
        <f t="shared" si="39"/>
        <v>0</v>
      </c>
      <c r="P111" s="478">
        <f t="shared" si="40"/>
        <v>0</v>
      </c>
    </row>
    <row r="112" spans="1:16">
      <c r="B112" s="160" t="str">
        <f t="shared" si="30"/>
        <v/>
      </c>
      <c r="C112" s="472">
        <f>IF(D93="","-",+C111+1)</f>
        <v>2025</v>
      </c>
      <c r="D112" s="347">
        <f>IF(F111+SUM(E$99:E111)=D$92,F111,D$92-SUM(E$99:E111))</f>
        <v>2414032.14</v>
      </c>
      <c r="E112" s="486">
        <f t="shared" si="44"/>
        <v>80628</v>
      </c>
      <c r="F112" s="485">
        <f t="shared" si="45"/>
        <v>2333404.14</v>
      </c>
      <c r="G112" s="485">
        <f t="shared" si="46"/>
        <v>2373718.14</v>
      </c>
      <c r="H112" s="486">
        <f t="shared" si="47"/>
        <v>350740.01702005125</v>
      </c>
      <c r="I112" s="542">
        <f t="shared" si="48"/>
        <v>350740.01702005125</v>
      </c>
      <c r="J112" s="478">
        <f t="shared" si="24"/>
        <v>0</v>
      </c>
      <c r="K112" s="478"/>
      <c r="L112" s="487"/>
      <c r="M112" s="478">
        <f t="shared" si="49"/>
        <v>0</v>
      </c>
      <c r="N112" s="487"/>
      <c r="O112" s="478">
        <f t="shared" si="39"/>
        <v>0</v>
      </c>
      <c r="P112" s="478">
        <f t="shared" si="40"/>
        <v>0</v>
      </c>
    </row>
    <row r="113" spans="2:16">
      <c r="B113" s="160" t="str">
        <f t="shared" si="30"/>
        <v/>
      </c>
      <c r="C113" s="472">
        <f>IF(D93="","-",+C112+1)</f>
        <v>2026</v>
      </c>
      <c r="D113" s="347">
        <f>IF(F112+SUM(E$99:E112)=D$92,F112,D$92-SUM(E$99:E112))</f>
        <v>2333404.14</v>
      </c>
      <c r="E113" s="486">
        <f t="shared" si="44"/>
        <v>80628</v>
      </c>
      <c r="F113" s="485">
        <f t="shared" si="45"/>
        <v>2252776.14</v>
      </c>
      <c r="G113" s="485">
        <f t="shared" si="46"/>
        <v>2293090.14</v>
      </c>
      <c r="H113" s="486">
        <f t="shared" si="47"/>
        <v>341565.13170351041</v>
      </c>
      <c r="I113" s="542">
        <f t="shared" si="48"/>
        <v>341565.13170351041</v>
      </c>
      <c r="J113" s="478">
        <f t="shared" si="24"/>
        <v>0</v>
      </c>
      <c r="K113" s="478"/>
      <c r="L113" s="487"/>
      <c r="M113" s="478">
        <f t="shared" si="49"/>
        <v>0</v>
      </c>
      <c r="N113" s="487"/>
      <c r="O113" s="478">
        <f t="shared" si="39"/>
        <v>0</v>
      </c>
      <c r="P113" s="478">
        <f t="shared" si="40"/>
        <v>0</v>
      </c>
    </row>
    <row r="114" spans="2:16">
      <c r="B114" s="160" t="str">
        <f t="shared" si="30"/>
        <v/>
      </c>
      <c r="C114" s="472">
        <f>IF(D93="","-",+C113+1)</f>
        <v>2027</v>
      </c>
      <c r="D114" s="347">
        <f>IF(F113+SUM(E$99:E113)=D$92,F113,D$92-SUM(E$99:E113))</f>
        <v>2252776.14</v>
      </c>
      <c r="E114" s="486">
        <f t="shared" si="44"/>
        <v>80628</v>
      </c>
      <c r="F114" s="485">
        <f t="shared" si="45"/>
        <v>2172148.14</v>
      </c>
      <c r="G114" s="485">
        <f t="shared" si="46"/>
        <v>2212462.14</v>
      </c>
      <c r="H114" s="486">
        <f t="shared" si="47"/>
        <v>332390.24638696952</v>
      </c>
      <c r="I114" s="542">
        <f t="shared" si="48"/>
        <v>332390.24638696952</v>
      </c>
      <c r="J114" s="478">
        <f t="shared" si="24"/>
        <v>0</v>
      </c>
      <c r="K114" s="478"/>
      <c r="L114" s="487"/>
      <c r="M114" s="478">
        <f t="shared" si="49"/>
        <v>0</v>
      </c>
      <c r="N114" s="487"/>
      <c r="O114" s="478">
        <f t="shared" si="39"/>
        <v>0</v>
      </c>
      <c r="P114" s="478">
        <f t="shared" si="40"/>
        <v>0</v>
      </c>
    </row>
    <row r="115" spans="2:16">
      <c r="B115" s="160" t="str">
        <f t="shared" si="30"/>
        <v/>
      </c>
      <c r="C115" s="472">
        <f>IF(D93="","-",+C114+1)</f>
        <v>2028</v>
      </c>
      <c r="D115" s="347">
        <f>IF(F114+SUM(E$99:E114)=D$92,F114,D$92-SUM(E$99:E114))</f>
        <v>2172148.14</v>
      </c>
      <c r="E115" s="486">
        <f t="shared" si="44"/>
        <v>80628</v>
      </c>
      <c r="F115" s="485">
        <f t="shared" si="45"/>
        <v>2091520.1400000001</v>
      </c>
      <c r="G115" s="485">
        <f t="shared" si="46"/>
        <v>2131834.14</v>
      </c>
      <c r="H115" s="486">
        <f t="shared" si="47"/>
        <v>323215.36107042863</v>
      </c>
      <c r="I115" s="542">
        <f t="shared" si="48"/>
        <v>323215.36107042863</v>
      </c>
      <c r="J115" s="478">
        <f t="shared" si="24"/>
        <v>0</v>
      </c>
      <c r="K115" s="478"/>
      <c r="L115" s="487"/>
      <c r="M115" s="478">
        <f t="shared" si="49"/>
        <v>0</v>
      </c>
      <c r="N115" s="487"/>
      <c r="O115" s="478">
        <f t="shared" si="39"/>
        <v>0</v>
      </c>
      <c r="P115" s="478">
        <f t="shared" si="40"/>
        <v>0</v>
      </c>
    </row>
    <row r="116" spans="2:16">
      <c r="B116" s="160" t="str">
        <f t="shared" si="30"/>
        <v/>
      </c>
      <c r="C116" s="472">
        <f>IF(D93="","-",+C115+1)</f>
        <v>2029</v>
      </c>
      <c r="D116" s="347">
        <f>IF(F115+SUM(E$99:E115)=D$92,F115,D$92-SUM(E$99:E115))</f>
        <v>2091520.1400000001</v>
      </c>
      <c r="E116" s="486">
        <f t="shared" si="44"/>
        <v>80628</v>
      </c>
      <c r="F116" s="485">
        <f t="shared" si="45"/>
        <v>2010892.1400000001</v>
      </c>
      <c r="G116" s="485">
        <f t="shared" si="46"/>
        <v>2051206.1400000001</v>
      </c>
      <c r="H116" s="486">
        <f t="shared" si="47"/>
        <v>314040.47575388779</v>
      </c>
      <c r="I116" s="542">
        <f t="shared" si="48"/>
        <v>314040.47575388779</v>
      </c>
      <c r="J116" s="478">
        <f t="shared" si="24"/>
        <v>0</v>
      </c>
      <c r="K116" s="478"/>
      <c r="L116" s="487"/>
      <c r="M116" s="478">
        <f t="shared" si="49"/>
        <v>0</v>
      </c>
      <c r="N116" s="487"/>
      <c r="O116" s="478">
        <f t="shared" si="39"/>
        <v>0</v>
      </c>
      <c r="P116" s="478">
        <f t="shared" si="40"/>
        <v>0</v>
      </c>
    </row>
    <row r="117" spans="2:16">
      <c r="B117" s="160" t="str">
        <f t="shared" si="30"/>
        <v/>
      </c>
      <c r="C117" s="472">
        <f>IF(D93="","-",+C116+1)</f>
        <v>2030</v>
      </c>
      <c r="D117" s="347">
        <f>IF(F116+SUM(E$99:E116)=D$92,F116,D$92-SUM(E$99:E116))</f>
        <v>2010892.1400000001</v>
      </c>
      <c r="E117" s="486">
        <f t="shared" si="44"/>
        <v>80628</v>
      </c>
      <c r="F117" s="485">
        <f t="shared" si="45"/>
        <v>1930264.1400000001</v>
      </c>
      <c r="G117" s="485">
        <f t="shared" si="46"/>
        <v>1970578.1400000001</v>
      </c>
      <c r="H117" s="486">
        <f t="shared" si="47"/>
        <v>304865.59043734695</v>
      </c>
      <c r="I117" s="542">
        <f t="shared" si="48"/>
        <v>304865.59043734695</v>
      </c>
      <c r="J117" s="478">
        <f t="shared" si="24"/>
        <v>0</v>
      </c>
      <c r="K117" s="478"/>
      <c r="L117" s="487"/>
      <c r="M117" s="478">
        <f t="shared" si="49"/>
        <v>0</v>
      </c>
      <c r="N117" s="487"/>
      <c r="O117" s="478">
        <f t="shared" si="39"/>
        <v>0</v>
      </c>
      <c r="P117" s="478">
        <f t="shared" si="40"/>
        <v>0</v>
      </c>
    </row>
    <row r="118" spans="2:16">
      <c r="B118" s="160" t="str">
        <f t="shared" si="30"/>
        <v/>
      </c>
      <c r="C118" s="472">
        <f>IF(D93="","-",+C117+1)</f>
        <v>2031</v>
      </c>
      <c r="D118" s="347">
        <f>IF(F117+SUM(E$99:E117)=D$92,F117,D$92-SUM(E$99:E117))</f>
        <v>1930264.1400000001</v>
      </c>
      <c r="E118" s="486">
        <f t="shared" si="44"/>
        <v>80628</v>
      </c>
      <c r="F118" s="485">
        <f t="shared" si="45"/>
        <v>1849636.1400000001</v>
      </c>
      <c r="G118" s="485">
        <f t="shared" si="46"/>
        <v>1889950.1400000001</v>
      </c>
      <c r="H118" s="486">
        <f t="shared" si="47"/>
        <v>295690.70512080606</v>
      </c>
      <c r="I118" s="542">
        <f t="shared" si="48"/>
        <v>295690.70512080606</v>
      </c>
      <c r="J118" s="478">
        <f t="shared" si="24"/>
        <v>0</v>
      </c>
      <c r="K118" s="478"/>
      <c r="L118" s="487"/>
      <c r="M118" s="478">
        <f t="shared" si="49"/>
        <v>0</v>
      </c>
      <c r="N118" s="487"/>
      <c r="O118" s="478">
        <f t="shared" si="39"/>
        <v>0</v>
      </c>
      <c r="P118" s="478">
        <f t="shared" si="40"/>
        <v>0</v>
      </c>
    </row>
    <row r="119" spans="2:16">
      <c r="B119" s="160" t="str">
        <f t="shared" si="30"/>
        <v/>
      </c>
      <c r="C119" s="472">
        <f>IF(D93="","-",+C118+1)</f>
        <v>2032</v>
      </c>
      <c r="D119" s="347">
        <f>IF(F118+SUM(E$99:E118)=D$92,F118,D$92-SUM(E$99:E118))</f>
        <v>1849636.1400000001</v>
      </c>
      <c r="E119" s="486">
        <f t="shared" si="44"/>
        <v>80628</v>
      </c>
      <c r="F119" s="485">
        <f t="shared" si="45"/>
        <v>1769008.1400000001</v>
      </c>
      <c r="G119" s="485">
        <f t="shared" si="46"/>
        <v>1809322.1400000001</v>
      </c>
      <c r="H119" s="486">
        <f t="shared" si="47"/>
        <v>286515.81980426516</v>
      </c>
      <c r="I119" s="542">
        <f t="shared" si="48"/>
        <v>286515.81980426516</v>
      </c>
      <c r="J119" s="478">
        <f t="shared" si="24"/>
        <v>0</v>
      </c>
      <c r="K119" s="478"/>
      <c r="L119" s="487"/>
      <c r="M119" s="478">
        <f t="shared" si="49"/>
        <v>0</v>
      </c>
      <c r="N119" s="487"/>
      <c r="O119" s="478">
        <f t="shared" si="39"/>
        <v>0</v>
      </c>
      <c r="P119" s="478">
        <f t="shared" si="40"/>
        <v>0</v>
      </c>
    </row>
    <row r="120" spans="2:16">
      <c r="B120" s="160" t="str">
        <f t="shared" si="30"/>
        <v/>
      </c>
      <c r="C120" s="472">
        <f>IF(D93="","-",+C119+1)</f>
        <v>2033</v>
      </c>
      <c r="D120" s="347">
        <f>IF(F119+SUM(E$99:E119)=D$92,F119,D$92-SUM(E$99:E119))</f>
        <v>1769008.1400000001</v>
      </c>
      <c r="E120" s="486">
        <f t="shared" si="44"/>
        <v>80628</v>
      </c>
      <c r="F120" s="485">
        <f t="shared" si="45"/>
        <v>1688380.1400000001</v>
      </c>
      <c r="G120" s="485">
        <f t="shared" si="46"/>
        <v>1728694.1400000001</v>
      </c>
      <c r="H120" s="486">
        <f t="shared" si="47"/>
        <v>277340.93448772433</v>
      </c>
      <c r="I120" s="542">
        <f t="shared" si="48"/>
        <v>277340.93448772433</v>
      </c>
      <c r="J120" s="478">
        <f t="shared" si="24"/>
        <v>0</v>
      </c>
      <c r="K120" s="478"/>
      <c r="L120" s="487"/>
      <c r="M120" s="478">
        <f t="shared" si="49"/>
        <v>0</v>
      </c>
      <c r="N120" s="487"/>
      <c r="O120" s="478">
        <f t="shared" si="39"/>
        <v>0</v>
      </c>
      <c r="P120" s="478">
        <f t="shared" si="40"/>
        <v>0</v>
      </c>
    </row>
    <row r="121" spans="2:16">
      <c r="B121" s="160" t="str">
        <f t="shared" si="30"/>
        <v/>
      </c>
      <c r="C121" s="472">
        <f>IF(D93="","-",+C120+1)</f>
        <v>2034</v>
      </c>
      <c r="D121" s="347">
        <f>IF(F120+SUM(E$99:E120)=D$92,F120,D$92-SUM(E$99:E120))</f>
        <v>1688380.1400000001</v>
      </c>
      <c r="E121" s="486">
        <f t="shared" si="44"/>
        <v>80628</v>
      </c>
      <c r="F121" s="485">
        <f t="shared" si="45"/>
        <v>1607752.1400000001</v>
      </c>
      <c r="G121" s="485">
        <f t="shared" si="46"/>
        <v>1648066.1400000001</v>
      </c>
      <c r="H121" s="486">
        <f t="shared" si="47"/>
        <v>268166.04917118349</v>
      </c>
      <c r="I121" s="542">
        <f t="shared" si="48"/>
        <v>268166.04917118349</v>
      </c>
      <c r="J121" s="478">
        <f t="shared" si="24"/>
        <v>0</v>
      </c>
      <c r="K121" s="478"/>
      <c r="L121" s="487"/>
      <c r="M121" s="478">
        <f t="shared" si="49"/>
        <v>0</v>
      </c>
      <c r="N121" s="487"/>
      <c r="O121" s="478">
        <f t="shared" si="39"/>
        <v>0</v>
      </c>
      <c r="P121" s="478">
        <f t="shared" si="40"/>
        <v>0</v>
      </c>
    </row>
    <row r="122" spans="2:16">
      <c r="B122" s="160" t="str">
        <f t="shared" si="30"/>
        <v/>
      </c>
      <c r="C122" s="472">
        <f>IF(D93="","-",+C121+1)</f>
        <v>2035</v>
      </c>
      <c r="D122" s="347">
        <f>IF(F121+SUM(E$99:E121)=D$92,F121,D$92-SUM(E$99:E121))</f>
        <v>1607752.1400000001</v>
      </c>
      <c r="E122" s="486">
        <f t="shared" si="44"/>
        <v>80628</v>
      </c>
      <c r="F122" s="485">
        <f t="shared" si="45"/>
        <v>1527124.1400000001</v>
      </c>
      <c r="G122" s="485">
        <f t="shared" si="46"/>
        <v>1567438.1400000001</v>
      </c>
      <c r="H122" s="486">
        <f t="shared" si="47"/>
        <v>258991.1638546426</v>
      </c>
      <c r="I122" s="542">
        <f t="shared" si="48"/>
        <v>258991.1638546426</v>
      </c>
      <c r="J122" s="478">
        <f t="shared" si="24"/>
        <v>0</v>
      </c>
      <c r="K122" s="478"/>
      <c r="L122" s="487"/>
      <c r="M122" s="478">
        <f t="shared" si="49"/>
        <v>0</v>
      </c>
      <c r="N122" s="487"/>
      <c r="O122" s="478">
        <f t="shared" si="39"/>
        <v>0</v>
      </c>
      <c r="P122" s="478">
        <f t="shared" si="40"/>
        <v>0</v>
      </c>
    </row>
    <row r="123" spans="2:16">
      <c r="B123" s="160" t="str">
        <f t="shared" si="30"/>
        <v/>
      </c>
      <c r="C123" s="472">
        <f>IF(D93="","-",+C122+1)</f>
        <v>2036</v>
      </c>
      <c r="D123" s="347">
        <f>IF(F122+SUM(E$99:E122)=D$92,F122,D$92-SUM(E$99:E122))</f>
        <v>1527124.1400000001</v>
      </c>
      <c r="E123" s="486">
        <f t="shared" si="44"/>
        <v>80628</v>
      </c>
      <c r="F123" s="485">
        <f t="shared" si="45"/>
        <v>1446496.1400000001</v>
      </c>
      <c r="G123" s="485">
        <f t="shared" si="46"/>
        <v>1486810.1400000001</v>
      </c>
      <c r="H123" s="486">
        <f t="shared" si="47"/>
        <v>249816.27853810173</v>
      </c>
      <c r="I123" s="542">
        <f t="shared" si="48"/>
        <v>249816.27853810173</v>
      </c>
      <c r="J123" s="478">
        <f t="shared" si="24"/>
        <v>0</v>
      </c>
      <c r="K123" s="478"/>
      <c r="L123" s="487"/>
      <c r="M123" s="478">
        <f t="shared" si="49"/>
        <v>0</v>
      </c>
      <c r="N123" s="487"/>
      <c r="O123" s="478">
        <f t="shared" si="39"/>
        <v>0</v>
      </c>
      <c r="P123" s="478">
        <f t="shared" si="40"/>
        <v>0</v>
      </c>
    </row>
    <row r="124" spans="2:16">
      <c r="B124" s="160" t="str">
        <f t="shared" si="30"/>
        <v/>
      </c>
      <c r="C124" s="472">
        <f>IF(D93="","-",+C123+1)</f>
        <v>2037</v>
      </c>
      <c r="D124" s="347">
        <f>IF(F123+SUM(E$99:E123)=D$92,F123,D$92-SUM(E$99:E123))</f>
        <v>1446496.1400000001</v>
      </c>
      <c r="E124" s="486">
        <f t="shared" si="44"/>
        <v>80628</v>
      </c>
      <c r="F124" s="485">
        <f t="shared" si="45"/>
        <v>1365868.1400000001</v>
      </c>
      <c r="G124" s="485">
        <f t="shared" si="46"/>
        <v>1406182.1400000001</v>
      </c>
      <c r="H124" s="486">
        <f t="shared" si="47"/>
        <v>240641.39322156087</v>
      </c>
      <c r="I124" s="542">
        <f t="shared" si="48"/>
        <v>240641.39322156087</v>
      </c>
      <c r="J124" s="478">
        <f t="shared" si="24"/>
        <v>0</v>
      </c>
      <c r="K124" s="478"/>
      <c r="L124" s="487"/>
      <c r="M124" s="478">
        <f t="shared" si="49"/>
        <v>0</v>
      </c>
      <c r="N124" s="487"/>
      <c r="O124" s="478">
        <f t="shared" si="39"/>
        <v>0</v>
      </c>
      <c r="P124" s="478">
        <f t="shared" si="40"/>
        <v>0</v>
      </c>
    </row>
    <row r="125" spans="2:16">
      <c r="B125" s="160" t="str">
        <f t="shared" si="30"/>
        <v/>
      </c>
      <c r="C125" s="472">
        <f>IF(D93="","-",+C124+1)</f>
        <v>2038</v>
      </c>
      <c r="D125" s="347">
        <f>IF(F124+SUM(E$99:E124)=D$92,F124,D$92-SUM(E$99:E124))</f>
        <v>1365868.1400000001</v>
      </c>
      <c r="E125" s="486">
        <f t="shared" si="44"/>
        <v>80628</v>
      </c>
      <c r="F125" s="485">
        <f t="shared" si="45"/>
        <v>1285240.1400000001</v>
      </c>
      <c r="G125" s="485">
        <f t="shared" si="46"/>
        <v>1325554.1400000001</v>
      </c>
      <c r="H125" s="486">
        <f t="shared" si="47"/>
        <v>231466.50790502</v>
      </c>
      <c r="I125" s="542">
        <f t="shared" si="48"/>
        <v>231466.50790502</v>
      </c>
      <c r="J125" s="478">
        <f t="shared" si="24"/>
        <v>0</v>
      </c>
      <c r="K125" s="478"/>
      <c r="L125" s="487"/>
      <c r="M125" s="478">
        <f t="shared" si="49"/>
        <v>0</v>
      </c>
      <c r="N125" s="487"/>
      <c r="O125" s="478">
        <f t="shared" si="39"/>
        <v>0</v>
      </c>
      <c r="P125" s="478">
        <f t="shared" si="40"/>
        <v>0</v>
      </c>
    </row>
    <row r="126" spans="2:16">
      <c r="B126" s="160" t="str">
        <f t="shared" si="30"/>
        <v/>
      </c>
      <c r="C126" s="472">
        <f>IF(D93="","-",+C125+1)</f>
        <v>2039</v>
      </c>
      <c r="D126" s="347">
        <f>IF(F125+SUM(E$99:E125)=D$92,F125,D$92-SUM(E$99:E125))</f>
        <v>1285240.1400000001</v>
      </c>
      <c r="E126" s="486">
        <f t="shared" si="44"/>
        <v>80628</v>
      </c>
      <c r="F126" s="485">
        <f t="shared" si="45"/>
        <v>1204612.1400000001</v>
      </c>
      <c r="G126" s="485">
        <f t="shared" si="46"/>
        <v>1244926.1400000001</v>
      </c>
      <c r="H126" s="486">
        <f t="shared" si="47"/>
        <v>222291.62258847916</v>
      </c>
      <c r="I126" s="542">
        <f t="shared" si="48"/>
        <v>222291.62258847916</v>
      </c>
      <c r="J126" s="478">
        <f t="shared" si="24"/>
        <v>0</v>
      </c>
      <c r="K126" s="478"/>
      <c r="L126" s="487"/>
      <c r="M126" s="478">
        <f t="shared" si="49"/>
        <v>0</v>
      </c>
      <c r="N126" s="487"/>
      <c r="O126" s="478">
        <f t="shared" si="39"/>
        <v>0</v>
      </c>
      <c r="P126" s="478">
        <f t="shared" si="40"/>
        <v>0</v>
      </c>
    </row>
    <row r="127" spans="2:16">
      <c r="B127" s="160" t="str">
        <f t="shared" si="30"/>
        <v/>
      </c>
      <c r="C127" s="472">
        <f>IF(D93="","-",+C126+1)</f>
        <v>2040</v>
      </c>
      <c r="D127" s="347">
        <f>IF(F126+SUM(E$99:E126)=D$92,F126,D$92-SUM(E$99:E126))</f>
        <v>1204612.1400000001</v>
      </c>
      <c r="E127" s="486">
        <f t="shared" si="44"/>
        <v>80628</v>
      </c>
      <c r="F127" s="485">
        <f t="shared" si="45"/>
        <v>1123984.1400000001</v>
      </c>
      <c r="G127" s="485">
        <f t="shared" si="46"/>
        <v>1164298.1400000001</v>
      </c>
      <c r="H127" s="486">
        <f t="shared" si="47"/>
        <v>213116.7372719383</v>
      </c>
      <c r="I127" s="542">
        <f t="shared" si="48"/>
        <v>213116.7372719383</v>
      </c>
      <c r="J127" s="478">
        <f t="shared" si="24"/>
        <v>0</v>
      </c>
      <c r="K127" s="478"/>
      <c r="L127" s="487"/>
      <c r="M127" s="478">
        <f t="shared" si="49"/>
        <v>0</v>
      </c>
      <c r="N127" s="487"/>
      <c r="O127" s="478">
        <f t="shared" si="39"/>
        <v>0</v>
      </c>
      <c r="P127" s="478">
        <f t="shared" si="40"/>
        <v>0</v>
      </c>
    </row>
    <row r="128" spans="2:16">
      <c r="B128" s="160" t="str">
        <f t="shared" si="30"/>
        <v/>
      </c>
      <c r="C128" s="472">
        <f>IF(D93="","-",+C127+1)</f>
        <v>2041</v>
      </c>
      <c r="D128" s="347">
        <f>IF(F127+SUM(E$99:E127)=D$92,F127,D$92-SUM(E$99:E127))</f>
        <v>1123984.1400000001</v>
      </c>
      <c r="E128" s="486">
        <f t="shared" si="44"/>
        <v>80628</v>
      </c>
      <c r="F128" s="485">
        <f t="shared" si="45"/>
        <v>1043356.1400000001</v>
      </c>
      <c r="G128" s="485">
        <f t="shared" si="46"/>
        <v>1083670.1400000001</v>
      </c>
      <c r="H128" s="486">
        <f t="shared" si="47"/>
        <v>203941.8519553974</v>
      </c>
      <c r="I128" s="542">
        <f t="shared" si="48"/>
        <v>203941.8519553974</v>
      </c>
      <c r="J128" s="478">
        <f t="shared" si="24"/>
        <v>0</v>
      </c>
      <c r="K128" s="478"/>
      <c r="L128" s="487"/>
      <c r="M128" s="478">
        <f t="shared" si="49"/>
        <v>0</v>
      </c>
      <c r="N128" s="487"/>
      <c r="O128" s="478">
        <f t="shared" si="39"/>
        <v>0</v>
      </c>
      <c r="P128" s="478">
        <f t="shared" si="40"/>
        <v>0</v>
      </c>
    </row>
    <row r="129" spans="2:16">
      <c r="B129" s="160" t="str">
        <f t="shared" si="30"/>
        <v/>
      </c>
      <c r="C129" s="472">
        <f>IF(D93="","-",+C128+1)</f>
        <v>2042</v>
      </c>
      <c r="D129" s="347">
        <f>IF(F128+SUM(E$99:E128)=D$92,F128,D$92-SUM(E$99:E128))</f>
        <v>1043356.1400000001</v>
      </c>
      <c r="E129" s="486">
        <f t="shared" si="44"/>
        <v>80628</v>
      </c>
      <c r="F129" s="485">
        <f t="shared" si="45"/>
        <v>962728.14000000013</v>
      </c>
      <c r="G129" s="485">
        <f t="shared" si="46"/>
        <v>1003042.1400000001</v>
      </c>
      <c r="H129" s="486">
        <f t="shared" si="47"/>
        <v>194766.96663885657</v>
      </c>
      <c r="I129" s="542">
        <f t="shared" si="48"/>
        <v>194766.96663885657</v>
      </c>
      <c r="J129" s="478">
        <f t="shared" si="24"/>
        <v>0</v>
      </c>
      <c r="K129" s="478"/>
      <c r="L129" s="487"/>
      <c r="M129" s="478">
        <f t="shared" si="49"/>
        <v>0</v>
      </c>
      <c r="N129" s="487"/>
      <c r="O129" s="478">
        <f t="shared" si="39"/>
        <v>0</v>
      </c>
      <c r="P129" s="478">
        <f t="shared" si="40"/>
        <v>0</v>
      </c>
    </row>
    <row r="130" spans="2:16">
      <c r="B130" s="160" t="str">
        <f t="shared" si="30"/>
        <v/>
      </c>
      <c r="C130" s="472">
        <f>IF(D93="","-",+C129+1)</f>
        <v>2043</v>
      </c>
      <c r="D130" s="347">
        <f>IF(F129+SUM(E$99:E129)=D$92,F129,D$92-SUM(E$99:E129))</f>
        <v>962728.14000000013</v>
      </c>
      <c r="E130" s="486">
        <f t="shared" si="44"/>
        <v>80628</v>
      </c>
      <c r="F130" s="485">
        <f t="shared" si="45"/>
        <v>882100.14000000013</v>
      </c>
      <c r="G130" s="485">
        <f t="shared" si="46"/>
        <v>922414.14000000013</v>
      </c>
      <c r="H130" s="486">
        <f t="shared" si="47"/>
        <v>185592.0813223157</v>
      </c>
      <c r="I130" s="542">
        <f t="shared" si="48"/>
        <v>185592.0813223157</v>
      </c>
      <c r="J130" s="478">
        <f t="shared" si="24"/>
        <v>0</v>
      </c>
      <c r="K130" s="478"/>
      <c r="L130" s="487"/>
      <c r="M130" s="478">
        <f t="shared" si="49"/>
        <v>0</v>
      </c>
      <c r="N130" s="487"/>
      <c r="O130" s="478">
        <f t="shared" si="39"/>
        <v>0</v>
      </c>
      <c r="P130" s="478">
        <f t="shared" si="40"/>
        <v>0</v>
      </c>
    </row>
    <row r="131" spans="2:16">
      <c r="B131" s="160" t="str">
        <f t="shared" si="30"/>
        <v/>
      </c>
      <c r="C131" s="472">
        <f>IF(D93="","-",+C130+1)</f>
        <v>2044</v>
      </c>
      <c r="D131" s="347">
        <f>IF(F130+SUM(E$99:E130)=D$92,F130,D$92-SUM(E$99:E130))</f>
        <v>882100.14000000013</v>
      </c>
      <c r="E131" s="486">
        <f t="shared" si="44"/>
        <v>80628</v>
      </c>
      <c r="F131" s="485">
        <f t="shared" si="45"/>
        <v>801472.14000000013</v>
      </c>
      <c r="G131" s="485">
        <f t="shared" si="46"/>
        <v>841786.14000000013</v>
      </c>
      <c r="H131" s="486">
        <f t="shared" si="47"/>
        <v>176417.19600577484</v>
      </c>
      <c r="I131" s="542">
        <f t="shared" si="48"/>
        <v>176417.19600577484</v>
      </c>
      <c r="J131" s="478">
        <f t="shared" ref="J131:J154" si="50">+I541-H541</f>
        <v>0</v>
      </c>
      <c r="K131" s="478"/>
      <c r="L131" s="487"/>
      <c r="M131" s="478">
        <f t="shared" ref="M131:M154" si="51">IF(L541&lt;&gt;0,+H541-L541,0)</f>
        <v>0</v>
      </c>
      <c r="N131" s="487"/>
      <c r="O131" s="478">
        <f t="shared" ref="O131:O154" si="52">IF(N541&lt;&gt;0,+I541-N541,0)</f>
        <v>0</v>
      </c>
      <c r="P131" s="478">
        <f t="shared" ref="P131:P154" si="53">+O541-M541</f>
        <v>0</v>
      </c>
    </row>
    <row r="132" spans="2:16">
      <c r="B132" s="160" t="str">
        <f t="shared" ref="B132:B154" si="54">IF(D132=F131,"","IU")</f>
        <v/>
      </c>
      <c r="C132" s="472">
        <f>IF(D93="","-",+C131+1)</f>
        <v>2045</v>
      </c>
      <c r="D132" s="347">
        <f>IF(F131+SUM(E$99:E131)=D$92,F131,D$92-SUM(E$99:E131))</f>
        <v>801472.14000000013</v>
      </c>
      <c r="E132" s="486">
        <f t="shared" si="44"/>
        <v>80628</v>
      </c>
      <c r="F132" s="485">
        <f t="shared" si="45"/>
        <v>720844.14000000013</v>
      </c>
      <c r="G132" s="485">
        <f t="shared" si="46"/>
        <v>761158.14000000013</v>
      </c>
      <c r="H132" s="486">
        <f t="shared" si="47"/>
        <v>167242.31068923397</v>
      </c>
      <c r="I132" s="542">
        <f t="shared" si="48"/>
        <v>167242.31068923397</v>
      </c>
      <c r="J132" s="478">
        <f t="shared" si="50"/>
        <v>0</v>
      </c>
      <c r="K132" s="478"/>
      <c r="L132" s="487"/>
      <c r="M132" s="478">
        <f t="shared" si="51"/>
        <v>0</v>
      </c>
      <c r="N132" s="487"/>
      <c r="O132" s="478">
        <f t="shared" si="52"/>
        <v>0</v>
      </c>
      <c r="P132" s="478">
        <f t="shared" si="53"/>
        <v>0</v>
      </c>
    </row>
    <row r="133" spans="2:16">
      <c r="B133" s="160" t="str">
        <f t="shared" si="54"/>
        <v/>
      </c>
      <c r="C133" s="472">
        <f>IF(D93="","-",+C132+1)</f>
        <v>2046</v>
      </c>
      <c r="D133" s="347">
        <f>IF(F132+SUM(E$99:E132)=D$92,F132,D$92-SUM(E$99:E132))</f>
        <v>720844.14000000013</v>
      </c>
      <c r="E133" s="486">
        <f t="shared" si="44"/>
        <v>80628</v>
      </c>
      <c r="F133" s="485">
        <f t="shared" si="45"/>
        <v>640216.14000000013</v>
      </c>
      <c r="G133" s="485">
        <f t="shared" si="46"/>
        <v>680530.14000000013</v>
      </c>
      <c r="H133" s="486">
        <f t="shared" si="47"/>
        <v>158067.42537269311</v>
      </c>
      <c r="I133" s="542">
        <f t="shared" si="48"/>
        <v>158067.42537269311</v>
      </c>
      <c r="J133" s="478">
        <f t="shared" si="50"/>
        <v>0</v>
      </c>
      <c r="K133" s="478"/>
      <c r="L133" s="487"/>
      <c r="M133" s="478">
        <f t="shared" si="51"/>
        <v>0</v>
      </c>
      <c r="N133" s="487"/>
      <c r="O133" s="478">
        <f t="shared" si="52"/>
        <v>0</v>
      </c>
      <c r="P133" s="478">
        <f t="shared" si="53"/>
        <v>0</v>
      </c>
    </row>
    <row r="134" spans="2:16">
      <c r="B134" s="160" t="str">
        <f t="shared" si="54"/>
        <v/>
      </c>
      <c r="C134" s="472">
        <f>IF(D93="","-",+C133+1)</f>
        <v>2047</v>
      </c>
      <c r="D134" s="347">
        <f>IF(F133+SUM(E$99:E133)=D$92,F133,D$92-SUM(E$99:E133))</f>
        <v>640216.14000000013</v>
      </c>
      <c r="E134" s="486">
        <f t="shared" si="44"/>
        <v>80628</v>
      </c>
      <c r="F134" s="485">
        <f t="shared" si="45"/>
        <v>559588.14000000013</v>
      </c>
      <c r="G134" s="485">
        <f t="shared" si="46"/>
        <v>599902.14000000013</v>
      </c>
      <c r="H134" s="486">
        <f t="shared" si="47"/>
        <v>148892.54005615224</v>
      </c>
      <c r="I134" s="542">
        <f t="shared" si="48"/>
        <v>148892.54005615224</v>
      </c>
      <c r="J134" s="478">
        <f t="shared" si="50"/>
        <v>0</v>
      </c>
      <c r="K134" s="478"/>
      <c r="L134" s="487"/>
      <c r="M134" s="478">
        <f t="shared" si="51"/>
        <v>0</v>
      </c>
      <c r="N134" s="487"/>
      <c r="O134" s="478">
        <f t="shared" si="52"/>
        <v>0</v>
      </c>
      <c r="P134" s="478">
        <f t="shared" si="53"/>
        <v>0</v>
      </c>
    </row>
    <row r="135" spans="2:16">
      <c r="B135" s="160" t="str">
        <f t="shared" si="54"/>
        <v/>
      </c>
      <c r="C135" s="472">
        <f>IF(D93="","-",+C134+1)</f>
        <v>2048</v>
      </c>
      <c r="D135" s="347">
        <f>IF(F134+SUM(E$99:E134)=D$92,F134,D$92-SUM(E$99:E134))</f>
        <v>559588.14000000013</v>
      </c>
      <c r="E135" s="486">
        <f t="shared" si="44"/>
        <v>80628</v>
      </c>
      <c r="F135" s="485">
        <f t="shared" si="45"/>
        <v>478960.14000000013</v>
      </c>
      <c r="G135" s="485">
        <f t="shared" si="46"/>
        <v>519274.14000000013</v>
      </c>
      <c r="H135" s="486">
        <f t="shared" si="47"/>
        <v>139717.65473961137</v>
      </c>
      <c r="I135" s="542">
        <f t="shared" si="48"/>
        <v>139717.65473961137</v>
      </c>
      <c r="J135" s="478">
        <f t="shared" si="50"/>
        <v>0</v>
      </c>
      <c r="K135" s="478"/>
      <c r="L135" s="487"/>
      <c r="M135" s="478">
        <f t="shared" si="51"/>
        <v>0</v>
      </c>
      <c r="N135" s="487"/>
      <c r="O135" s="478">
        <f t="shared" si="52"/>
        <v>0</v>
      </c>
      <c r="P135" s="478">
        <f t="shared" si="53"/>
        <v>0</v>
      </c>
    </row>
    <row r="136" spans="2:16">
      <c r="B136" s="160" t="str">
        <f t="shared" si="54"/>
        <v/>
      </c>
      <c r="C136" s="472">
        <f>IF(D93="","-",+C135+1)</f>
        <v>2049</v>
      </c>
      <c r="D136" s="347">
        <f>IF(F135+SUM(E$99:E135)=D$92,F135,D$92-SUM(E$99:E135))</f>
        <v>478960.14000000013</v>
      </c>
      <c r="E136" s="486">
        <f t="shared" si="44"/>
        <v>80628</v>
      </c>
      <c r="F136" s="485">
        <f t="shared" si="45"/>
        <v>398332.14000000013</v>
      </c>
      <c r="G136" s="485">
        <f t="shared" si="46"/>
        <v>438646.14000000013</v>
      </c>
      <c r="H136" s="486">
        <f t="shared" si="47"/>
        <v>130542.76942307051</v>
      </c>
      <c r="I136" s="542">
        <f t="shared" si="48"/>
        <v>130542.76942307051</v>
      </c>
      <c r="J136" s="478">
        <f t="shared" si="50"/>
        <v>0</v>
      </c>
      <c r="K136" s="478"/>
      <c r="L136" s="487"/>
      <c r="M136" s="478">
        <f t="shared" si="51"/>
        <v>0</v>
      </c>
      <c r="N136" s="487"/>
      <c r="O136" s="478">
        <f t="shared" si="52"/>
        <v>0</v>
      </c>
      <c r="P136" s="478">
        <f t="shared" si="53"/>
        <v>0</v>
      </c>
    </row>
    <row r="137" spans="2:16">
      <c r="B137" s="160" t="str">
        <f t="shared" si="54"/>
        <v/>
      </c>
      <c r="C137" s="472">
        <f>IF(D93="","-",+C136+1)</f>
        <v>2050</v>
      </c>
      <c r="D137" s="347">
        <f>IF(F136+SUM(E$99:E136)=D$92,F136,D$92-SUM(E$99:E136))</f>
        <v>398332.14000000013</v>
      </c>
      <c r="E137" s="486">
        <f t="shared" si="44"/>
        <v>80628</v>
      </c>
      <c r="F137" s="485">
        <f t="shared" si="45"/>
        <v>317704.14000000013</v>
      </c>
      <c r="G137" s="485">
        <f t="shared" si="46"/>
        <v>358018.14000000013</v>
      </c>
      <c r="H137" s="486">
        <f t="shared" si="47"/>
        <v>121367.88410652964</v>
      </c>
      <c r="I137" s="542">
        <f t="shared" si="48"/>
        <v>121367.88410652964</v>
      </c>
      <c r="J137" s="478">
        <f t="shared" si="50"/>
        <v>0</v>
      </c>
      <c r="K137" s="478"/>
      <c r="L137" s="487"/>
      <c r="M137" s="478">
        <f t="shared" si="51"/>
        <v>0</v>
      </c>
      <c r="N137" s="487"/>
      <c r="O137" s="478">
        <f t="shared" si="52"/>
        <v>0</v>
      </c>
      <c r="P137" s="478">
        <f t="shared" si="53"/>
        <v>0</v>
      </c>
    </row>
    <row r="138" spans="2:16">
      <c r="B138" s="160" t="str">
        <f t="shared" si="54"/>
        <v/>
      </c>
      <c r="C138" s="472">
        <f>IF(D93="","-",+C137+1)</f>
        <v>2051</v>
      </c>
      <c r="D138" s="347">
        <f>IF(F137+SUM(E$99:E137)=D$92,F137,D$92-SUM(E$99:E137))</f>
        <v>317704.14000000013</v>
      </c>
      <c r="E138" s="486">
        <f t="shared" si="44"/>
        <v>80628</v>
      </c>
      <c r="F138" s="485">
        <f t="shared" si="45"/>
        <v>237076.14000000013</v>
      </c>
      <c r="G138" s="485">
        <f t="shared" si="46"/>
        <v>277390.14000000013</v>
      </c>
      <c r="H138" s="486">
        <f t="shared" si="47"/>
        <v>112192.99878998878</v>
      </c>
      <c r="I138" s="542">
        <f t="shared" si="48"/>
        <v>112192.99878998878</v>
      </c>
      <c r="J138" s="478">
        <f t="shared" si="50"/>
        <v>0</v>
      </c>
      <c r="K138" s="478"/>
      <c r="L138" s="487"/>
      <c r="M138" s="478">
        <f t="shared" si="51"/>
        <v>0</v>
      </c>
      <c r="N138" s="487"/>
      <c r="O138" s="478">
        <f t="shared" si="52"/>
        <v>0</v>
      </c>
      <c r="P138" s="478">
        <f t="shared" si="53"/>
        <v>0</v>
      </c>
    </row>
    <row r="139" spans="2:16">
      <c r="B139" s="160" t="str">
        <f t="shared" si="54"/>
        <v/>
      </c>
      <c r="C139" s="472">
        <f>IF(D93="","-",+C138+1)</f>
        <v>2052</v>
      </c>
      <c r="D139" s="347">
        <f>IF(F138+SUM(E$99:E138)=D$92,F138,D$92-SUM(E$99:E138))</f>
        <v>237076.14000000013</v>
      </c>
      <c r="E139" s="486">
        <f t="shared" si="44"/>
        <v>80628</v>
      </c>
      <c r="F139" s="485">
        <f t="shared" si="45"/>
        <v>156448.14000000013</v>
      </c>
      <c r="G139" s="485">
        <f t="shared" si="46"/>
        <v>196762.14000000013</v>
      </c>
      <c r="H139" s="486">
        <f t="shared" si="47"/>
        <v>103018.11347344791</v>
      </c>
      <c r="I139" s="542">
        <f t="shared" si="48"/>
        <v>103018.11347344791</v>
      </c>
      <c r="J139" s="478">
        <f t="shared" si="50"/>
        <v>0</v>
      </c>
      <c r="K139" s="478"/>
      <c r="L139" s="487"/>
      <c r="M139" s="478">
        <f t="shared" si="51"/>
        <v>0</v>
      </c>
      <c r="N139" s="487"/>
      <c r="O139" s="478">
        <f t="shared" si="52"/>
        <v>0</v>
      </c>
      <c r="P139" s="478">
        <f t="shared" si="53"/>
        <v>0</v>
      </c>
    </row>
    <row r="140" spans="2:16">
      <c r="B140" s="160" t="str">
        <f t="shared" si="54"/>
        <v/>
      </c>
      <c r="C140" s="472">
        <f>IF(D93="","-",+C139+1)</f>
        <v>2053</v>
      </c>
      <c r="D140" s="347">
        <f>IF(F139+SUM(E$99:E139)=D$92,F139,D$92-SUM(E$99:E139))</f>
        <v>156448.14000000013</v>
      </c>
      <c r="E140" s="486">
        <f t="shared" si="44"/>
        <v>80628</v>
      </c>
      <c r="F140" s="485">
        <f t="shared" si="45"/>
        <v>75820.14000000013</v>
      </c>
      <c r="G140" s="485">
        <f t="shared" si="46"/>
        <v>116134.14000000013</v>
      </c>
      <c r="H140" s="486">
        <f t="shared" si="47"/>
        <v>93843.228156907062</v>
      </c>
      <c r="I140" s="542">
        <f t="shared" si="48"/>
        <v>93843.228156907062</v>
      </c>
      <c r="J140" s="478">
        <f t="shared" si="50"/>
        <v>0</v>
      </c>
      <c r="K140" s="478"/>
      <c r="L140" s="487"/>
      <c r="M140" s="478">
        <f t="shared" si="51"/>
        <v>0</v>
      </c>
      <c r="N140" s="487"/>
      <c r="O140" s="478">
        <f t="shared" si="52"/>
        <v>0</v>
      </c>
      <c r="P140" s="478">
        <f t="shared" si="53"/>
        <v>0</v>
      </c>
    </row>
    <row r="141" spans="2:16">
      <c r="B141" s="160" t="str">
        <f t="shared" si="54"/>
        <v/>
      </c>
      <c r="C141" s="472">
        <f>IF(D93="","-",+C140+1)</f>
        <v>2054</v>
      </c>
      <c r="D141" s="347">
        <f>IF(F140+SUM(E$99:E140)=D$92,F140,D$92-SUM(E$99:E140))</f>
        <v>75820.14000000013</v>
      </c>
      <c r="E141" s="486">
        <f t="shared" si="44"/>
        <v>75820.14000000013</v>
      </c>
      <c r="F141" s="485">
        <f t="shared" si="45"/>
        <v>0</v>
      </c>
      <c r="G141" s="485">
        <f t="shared" si="46"/>
        <v>37910.070000000065</v>
      </c>
      <c r="H141" s="486">
        <f t="shared" si="47"/>
        <v>80134.032749318445</v>
      </c>
      <c r="I141" s="542">
        <f t="shared" si="48"/>
        <v>80134.032749318445</v>
      </c>
      <c r="J141" s="478">
        <f t="shared" si="50"/>
        <v>0</v>
      </c>
      <c r="K141" s="478"/>
      <c r="L141" s="487"/>
      <c r="M141" s="478">
        <f t="shared" si="51"/>
        <v>0</v>
      </c>
      <c r="N141" s="487"/>
      <c r="O141" s="478">
        <f t="shared" si="52"/>
        <v>0</v>
      </c>
      <c r="P141" s="478">
        <f t="shared" si="53"/>
        <v>0</v>
      </c>
    </row>
    <row r="142" spans="2:16">
      <c r="B142" s="160" t="str">
        <f t="shared" si="54"/>
        <v/>
      </c>
      <c r="C142" s="472">
        <f>IF(D93="","-",+C141+1)</f>
        <v>2055</v>
      </c>
      <c r="D142" s="347">
        <f>IF(F141+SUM(E$99:E141)=D$92,F141,D$92-SUM(E$99:E141))</f>
        <v>0</v>
      </c>
      <c r="E142" s="486">
        <f t="shared" si="44"/>
        <v>0</v>
      </c>
      <c r="F142" s="485">
        <f t="shared" si="45"/>
        <v>0</v>
      </c>
      <c r="G142" s="485">
        <f t="shared" si="46"/>
        <v>0</v>
      </c>
      <c r="H142" s="486">
        <f t="shared" si="47"/>
        <v>0</v>
      </c>
      <c r="I142" s="542">
        <f t="shared" si="48"/>
        <v>0</v>
      </c>
      <c r="J142" s="478">
        <f t="shared" si="50"/>
        <v>0</v>
      </c>
      <c r="K142" s="478"/>
      <c r="L142" s="487"/>
      <c r="M142" s="478">
        <f t="shared" si="51"/>
        <v>0</v>
      </c>
      <c r="N142" s="487"/>
      <c r="O142" s="478">
        <f t="shared" si="52"/>
        <v>0</v>
      </c>
      <c r="P142" s="478">
        <f t="shared" si="53"/>
        <v>0</v>
      </c>
    </row>
    <row r="143" spans="2:16">
      <c r="B143" s="160" t="str">
        <f t="shared" si="54"/>
        <v/>
      </c>
      <c r="C143" s="472">
        <f>IF(D93="","-",+C142+1)</f>
        <v>2056</v>
      </c>
      <c r="D143" s="347">
        <f>IF(F142+SUM(E$99:E142)=D$92,F142,D$92-SUM(E$99:E142))</f>
        <v>0</v>
      </c>
      <c r="E143" s="486">
        <f t="shared" si="44"/>
        <v>0</v>
      </c>
      <c r="F143" s="485">
        <f t="shared" si="45"/>
        <v>0</v>
      </c>
      <c r="G143" s="485">
        <f t="shared" si="46"/>
        <v>0</v>
      </c>
      <c r="H143" s="486">
        <f t="shared" si="47"/>
        <v>0</v>
      </c>
      <c r="I143" s="542">
        <f t="shared" si="48"/>
        <v>0</v>
      </c>
      <c r="J143" s="478">
        <f t="shared" si="50"/>
        <v>0</v>
      </c>
      <c r="K143" s="478"/>
      <c r="L143" s="487"/>
      <c r="M143" s="478">
        <f t="shared" si="51"/>
        <v>0</v>
      </c>
      <c r="N143" s="487"/>
      <c r="O143" s="478">
        <f t="shared" si="52"/>
        <v>0</v>
      </c>
      <c r="P143" s="478">
        <f t="shared" si="53"/>
        <v>0</v>
      </c>
    </row>
    <row r="144" spans="2:16">
      <c r="B144" s="160" t="str">
        <f t="shared" si="54"/>
        <v/>
      </c>
      <c r="C144" s="472">
        <f>IF(D93="","-",+C143+1)</f>
        <v>2057</v>
      </c>
      <c r="D144" s="347">
        <f>IF(F143+SUM(E$99:E143)=D$92,F143,D$92-SUM(E$99:E143))</f>
        <v>0</v>
      </c>
      <c r="E144" s="486">
        <f t="shared" si="44"/>
        <v>0</v>
      </c>
      <c r="F144" s="485">
        <f t="shared" si="45"/>
        <v>0</v>
      </c>
      <c r="G144" s="485">
        <f t="shared" si="46"/>
        <v>0</v>
      </c>
      <c r="H144" s="486">
        <f t="shared" si="47"/>
        <v>0</v>
      </c>
      <c r="I144" s="542">
        <f t="shared" si="48"/>
        <v>0</v>
      </c>
      <c r="J144" s="478">
        <f t="shared" si="50"/>
        <v>0</v>
      </c>
      <c r="K144" s="478"/>
      <c r="L144" s="487"/>
      <c r="M144" s="478">
        <f t="shared" si="51"/>
        <v>0</v>
      </c>
      <c r="N144" s="487"/>
      <c r="O144" s="478">
        <f t="shared" si="52"/>
        <v>0</v>
      </c>
      <c r="P144" s="478">
        <f t="shared" si="53"/>
        <v>0</v>
      </c>
    </row>
    <row r="145" spans="2:16">
      <c r="B145" s="160" t="str">
        <f t="shared" si="54"/>
        <v/>
      </c>
      <c r="C145" s="472">
        <f>IF(D93="","-",+C144+1)</f>
        <v>2058</v>
      </c>
      <c r="D145" s="347">
        <f>IF(F144+SUM(E$99:E144)=D$92,F144,D$92-SUM(E$99:E144))</f>
        <v>0</v>
      </c>
      <c r="E145" s="486">
        <f t="shared" si="44"/>
        <v>0</v>
      </c>
      <c r="F145" s="485">
        <f t="shared" si="45"/>
        <v>0</v>
      </c>
      <c r="G145" s="485">
        <f t="shared" si="46"/>
        <v>0</v>
      </c>
      <c r="H145" s="486">
        <f t="shared" si="47"/>
        <v>0</v>
      </c>
      <c r="I145" s="542">
        <f t="shared" si="48"/>
        <v>0</v>
      </c>
      <c r="J145" s="478">
        <f t="shared" si="50"/>
        <v>0</v>
      </c>
      <c r="K145" s="478"/>
      <c r="L145" s="487"/>
      <c r="M145" s="478">
        <f t="shared" si="51"/>
        <v>0</v>
      </c>
      <c r="N145" s="487"/>
      <c r="O145" s="478">
        <f t="shared" si="52"/>
        <v>0</v>
      </c>
      <c r="P145" s="478">
        <f t="shared" si="53"/>
        <v>0</v>
      </c>
    </row>
    <row r="146" spans="2:16">
      <c r="B146" s="160" t="str">
        <f t="shared" si="54"/>
        <v/>
      </c>
      <c r="C146" s="472">
        <f>IF(D93="","-",+C145+1)</f>
        <v>2059</v>
      </c>
      <c r="D146" s="347">
        <f>IF(F145+SUM(E$99:E145)=D$92,F145,D$92-SUM(E$99:E145))</f>
        <v>0</v>
      </c>
      <c r="E146" s="486">
        <f t="shared" si="44"/>
        <v>0</v>
      </c>
      <c r="F146" s="485">
        <f t="shared" si="45"/>
        <v>0</v>
      </c>
      <c r="G146" s="485">
        <f t="shared" si="46"/>
        <v>0</v>
      </c>
      <c r="H146" s="486">
        <f t="shared" si="47"/>
        <v>0</v>
      </c>
      <c r="I146" s="542">
        <f t="shared" si="48"/>
        <v>0</v>
      </c>
      <c r="J146" s="478">
        <f t="shared" si="50"/>
        <v>0</v>
      </c>
      <c r="K146" s="478"/>
      <c r="L146" s="487"/>
      <c r="M146" s="478">
        <f t="shared" si="51"/>
        <v>0</v>
      </c>
      <c r="N146" s="487"/>
      <c r="O146" s="478">
        <f t="shared" si="52"/>
        <v>0</v>
      </c>
      <c r="P146" s="478">
        <f t="shared" si="53"/>
        <v>0</v>
      </c>
    </row>
    <row r="147" spans="2:16">
      <c r="B147" s="160" t="str">
        <f t="shared" si="54"/>
        <v/>
      </c>
      <c r="C147" s="472">
        <f>IF(D93="","-",+C146+1)</f>
        <v>2060</v>
      </c>
      <c r="D147" s="347">
        <f>IF(F146+SUM(E$99:E146)=D$92,F146,D$92-SUM(E$99:E146))</f>
        <v>0</v>
      </c>
      <c r="E147" s="486">
        <f t="shared" si="44"/>
        <v>0</v>
      </c>
      <c r="F147" s="485">
        <f t="shared" si="45"/>
        <v>0</v>
      </c>
      <c r="G147" s="485">
        <f t="shared" si="46"/>
        <v>0</v>
      </c>
      <c r="H147" s="486">
        <f t="shared" si="47"/>
        <v>0</v>
      </c>
      <c r="I147" s="542">
        <f t="shared" si="48"/>
        <v>0</v>
      </c>
      <c r="J147" s="478">
        <f t="shared" si="50"/>
        <v>0</v>
      </c>
      <c r="K147" s="478"/>
      <c r="L147" s="487"/>
      <c r="M147" s="478">
        <f t="shared" si="51"/>
        <v>0</v>
      </c>
      <c r="N147" s="487"/>
      <c r="O147" s="478">
        <f t="shared" si="52"/>
        <v>0</v>
      </c>
      <c r="P147" s="478">
        <f t="shared" si="53"/>
        <v>0</v>
      </c>
    </row>
    <row r="148" spans="2:16">
      <c r="B148" s="160" t="str">
        <f t="shared" si="54"/>
        <v/>
      </c>
      <c r="C148" s="472">
        <f>IF(D93="","-",+C147+1)</f>
        <v>2061</v>
      </c>
      <c r="D148" s="347">
        <f>IF(F147+SUM(E$99:E147)=D$92,F147,D$92-SUM(E$99:E147))</f>
        <v>0</v>
      </c>
      <c r="E148" s="486">
        <f t="shared" si="44"/>
        <v>0</v>
      </c>
      <c r="F148" s="485">
        <f t="shared" si="45"/>
        <v>0</v>
      </c>
      <c r="G148" s="485">
        <f t="shared" si="46"/>
        <v>0</v>
      </c>
      <c r="H148" s="486">
        <f t="shared" si="47"/>
        <v>0</v>
      </c>
      <c r="I148" s="542">
        <f t="shared" si="48"/>
        <v>0</v>
      </c>
      <c r="J148" s="478">
        <f t="shared" si="50"/>
        <v>0</v>
      </c>
      <c r="K148" s="478"/>
      <c r="L148" s="487"/>
      <c r="M148" s="478">
        <f t="shared" si="51"/>
        <v>0</v>
      </c>
      <c r="N148" s="487"/>
      <c r="O148" s="478">
        <f t="shared" si="52"/>
        <v>0</v>
      </c>
      <c r="P148" s="478">
        <f t="shared" si="53"/>
        <v>0</v>
      </c>
    </row>
    <row r="149" spans="2:16">
      <c r="B149" s="160" t="str">
        <f t="shared" si="54"/>
        <v/>
      </c>
      <c r="C149" s="472">
        <f>IF(D93="","-",+C148+1)</f>
        <v>2062</v>
      </c>
      <c r="D149" s="347">
        <f>IF(F148+SUM(E$99:E148)=D$92,F148,D$92-SUM(E$99:E148))</f>
        <v>0</v>
      </c>
      <c r="E149" s="486">
        <f t="shared" si="44"/>
        <v>0</v>
      </c>
      <c r="F149" s="485">
        <f t="shared" si="45"/>
        <v>0</v>
      </c>
      <c r="G149" s="485">
        <f t="shared" si="46"/>
        <v>0</v>
      </c>
      <c r="H149" s="486">
        <f t="shared" si="47"/>
        <v>0</v>
      </c>
      <c r="I149" s="542">
        <f t="shared" si="48"/>
        <v>0</v>
      </c>
      <c r="J149" s="478">
        <f t="shared" si="50"/>
        <v>0</v>
      </c>
      <c r="K149" s="478"/>
      <c r="L149" s="487"/>
      <c r="M149" s="478">
        <f t="shared" si="51"/>
        <v>0</v>
      </c>
      <c r="N149" s="487"/>
      <c r="O149" s="478">
        <f t="shared" si="52"/>
        <v>0</v>
      </c>
      <c r="P149" s="478">
        <f t="shared" si="53"/>
        <v>0</v>
      </c>
    </row>
    <row r="150" spans="2:16">
      <c r="B150" s="160" t="str">
        <f t="shared" si="54"/>
        <v/>
      </c>
      <c r="C150" s="472">
        <f>IF(D93="","-",+C149+1)</f>
        <v>2063</v>
      </c>
      <c r="D150" s="347">
        <f>IF(F149+SUM(E$99:E149)=D$92,F149,D$92-SUM(E$99:E149))</f>
        <v>0</v>
      </c>
      <c r="E150" s="486">
        <f t="shared" si="44"/>
        <v>0</v>
      </c>
      <c r="F150" s="485">
        <f t="shared" si="45"/>
        <v>0</v>
      </c>
      <c r="G150" s="485">
        <f t="shared" si="46"/>
        <v>0</v>
      </c>
      <c r="H150" s="486">
        <f t="shared" si="47"/>
        <v>0</v>
      </c>
      <c r="I150" s="542">
        <f t="shared" si="48"/>
        <v>0</v>
      </c>
      <c r="J150" s="478">
        <f t="shared" si="50"/>
        <v>0</v>
      </c>
      <c r="K150" s="478"/>
      <c r="L150" s="487"/>
      <c r="M150" s="478">
        <f t="shared" si="51"/>
        <v>0</v>
      </c>
      <c r="N150" s="487"/>
      <c r="O150" s="478">
        <f t="shared" si="52"/>
        <v>0</v>
      </c>
      <c r="P150" s="478">
        <f t="shared" si="53"/>
        <v>0</v>
      </c>
    </row>
    <row r="151" spans="2:16">
      <c r="B151" s="160" t="str">
        <f t="shared" si="54"/>
        <v/>
      </c>
      <c r="C151" s="472">
        <f>IF(D93="","-",+C150+1)</f>
        <v>2064</v>
      </c>
      <c r="D151" s="347">
        <f>IF(F150+SUM(E$99:E150)=D$92,F150,D$92-SUM(E$99:E150))</f>
        <v>0</v>
      </c>
      <c r="E151" s="486">
        <f t="shared" si="44"/>
        <v>0</v>
      </c>
      <c r="F151" s="485">
        <f t="shared" si="45"/>
        <v>0</v>
      </c>
      <c r="G151" s="485">
        <f t="shared" si="46"/>
        <v>0</v>
      </c>
      <c r="H151" s="486">
        <f t="shared" si="47"/>
        <v>0</v>
      </c>
      <c r="I151" s="542">
        <f t="shared" si="48"/>
        <v>0</v>
      </c>
      <c r="J151" s="478">
        <f t="shared" si="50"/>
        <v>0</v>
      </c>
      <c r="K151" s="478"/>
      <c r="L151" s="487"/>
      <c r="M151" s="478">
        <f t="shared" si="51"/>
        <v>0</v>
      </c>
      <c r="N151" s="487"/>
      <c r="O151" s="478">
        <f t="shared" si="52"/>
        <v>0</v>
      </c>
      <c r="P151" s="478">
        <f t="shared" si="53"/>
        <v>0</v>
      </c>
    </row>
    <row r="152" spans="2:16">
      <c r="B152" s="160" t="str">
        <f t="shared" si="54"/>
        <v/>
      </c>
      <c r="C152" s="472">
        <f>IF(D93="","-",+C151+1)</f>
        <v>2065</v>
      </c>
      <c r="D152" s="347">
        <f>IF(F151+SUM(E$99:E151)=D$92,F151,D$92-SUM(E$99:E151))</f>
        <v>0</v>
      </c>
      <c r="E152" s="486">
        <f t="shared" si="44"/>
        <v>0</v>
      </c>
      <c r="F152" s="485">
        <f t="shared" si="45"/>
        <v>0</v>
      </c>
      <c r="G152" s="485">
        <f t="shared" si="46"/>
        <v>0</v>
      </c>
      <c r="H152" s="486">
        <f t="shared" si="47"/>
        <v>0</v>
      </c>
      <c r="I152" s="542">
        <f t="shared" si="48"/>
        <v>0</v>
      </c>
      <c r="J152" s="478">
        <f t="shared" si="50"/>
        <v>0</v>
      </c>
      <c r="K152" s="478"/>
      <c r="L152" s="487"/>
      <c r="M152" s="478">
        <f t="shared" si="51"/>
        <v>0</v>
      </c>
      <c r="N152" s="487"/>
      <c r="O152" s="478">
        <f t="shared" si="52"/>
        <v>0</v>
      </c>
      <c r="P152" s="478">
        <f t="shared" si="53"/>
        <v>0</v>
      </c>
    </row>
    <row r="153" spans="2:16">
      <c r="B153" s="160" t="str">
        <f t="shared" si="54"/>
        <v/>
      </c>
      <c r="C153" s="472">
        <f>IF(D93="","-",+C152+1)</f>
        <v>2066</v>
      </c>
      <c r="D153" s="347">
        <f>IF(F152+SUM(E$99:E152)=D$92,F152,D$92-SUM(E$99:E152))</f>
        <v>0</v>
      </c>
      <c r="E153" s="486">
        <f t="shared" si="44"/>
        <v>0</v>
      </c>
      <c r="F153" s="485">
        <f t="shared" si="45"/>
        <v>0</v>
      </c>
      <c r="G153" s="485">
        <f t="shared" si="46"/>
        <v>0</v>
      </c>
      <c r="H153" s="486">
        <f t="shared" si="47"/>
        <v>0</v>
      </c>
      <c r="I153" s="542">
        <f t="shared" si="48"/>
        <v>0</v>
      </c>
      <c r="J153" s="478">
        <f t="shared" si="50"/>
        <v>0</v>
      </c>
      <c r="K153" s="478"/>
      <c r="L153" s="487"/>
      <c r="M153" s="478">
        <f t="shared" si="51"/>
        <v>0</v>
      </c>
      <c r="N153" s="487"/>
      <c r="O153" s="478">
        <f t="shared" si="52"/>
        <v>0</v>
      </c>
      <c r="P153" s="478">
        <f t="shared" si="53"/>
        <v>0</v>
      </c>
    </row>
    <row r="154" spans="2:16" ht="13.5" thickBot="1">
      <c r="B154" s="160" t="str">
        <f t="shared" si="54"/>
        <v/>
      </c>
      <c r="C154" s="489">
        <f>IF(D93="","-",+C153+1)</f>
        <v>2067</v>
      </c>
      <c r="D154" s="543">
        <f>IF(F153+SUM(E$99:E153)=D$92,F153,D$92-SUM(E$99:E153))</f>
        <v>0</v>
      </c>
      <c r="E154" s="544">
        <f t="shared" si="44"/>
        <v>0</v>
      </c>
      <c r="F154" s="490">
        <f t="shared" si="45"/>
        <v>0</v>
      </c>
      <c r="G154" s="490">
        <f t="shared" si="46"/>
        <v>0</v>
      </c>
      <c r="H154" s="492">
        <f t="shared" ref="H154" si="55">+J$94*G154+E154</f>
        <v>0</v>
      </c>
      <c r="I154" s="545">
        <f t="shared" ref="I154" si="56">+J$95*G154+E154</f>
        <v>0</v>
      </c>
      <c r="J154" s="495">
        <f t="shared" si="50"/>
        <v>0</v>
      </c>
      <c r="K154" s="478"/>
      <c r="L154" s="494"/>
      <c r="M154" s="495">
        <f t="shared" si="51"/>
        <v>0</v>
      </c>
      <c r="N154" s="494"/>
      <c r="O154" s="495">
        <f t="shared" si="52"/>
        <v>0</v>
      </c>
      <c r="P154" s="495">
        <f t="shared" si="53"/>
        <v>0</v>
      </c>
    </row>
    <row r="155" spans="2:16">
      <c r="C155" s="347" t="s">
        <v>77</v>
      </c>
      <c r="D155" s="348"/>
      <c r="E155" s="348">
        <f>SUM(E99:E154)</f>
        <v>3305767.14</v>
      </c>
      <c r="F155" s="348"/>
      <c r="G155" s="348"/>
      <c r="H155" s="348">
        <f>SUM(H99:H154)</f>
        <v>11663036.92010471</v>
      </c>
      <c r="I155" s="348">
        <f>SUM(I99:I154)</f>
        <v>11663036.92010471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8:C72">
    <cfRule type="cellIs" dxfId="40" priority="2" stopIfTrue="1" operator="equal">
      <formula>$I$10</formula>
    </cfRule>
  </conditionalFormatting>
  <conditionalFormatting sqref="C99:C154">
    <cfRule type="cellIs" dxfId="39" priority="3" stopIfTrue="1" operator="equal">
      <formula>$J$92</formula>
    </cfRule>
  </conditionalFormatting>
  <conditionalFormatting sqref="C17">
    <cfRule type="cellIs" dxfId="38" priority="1" stopIfTrue="1" operator="equal">
      <formula>$I$10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3">
    <tabColor rgb="FFC00000"/>
  </sheetPr>
  <dimension ref="A1:P162"/>
  <sheetViews>
    <sheetView zoomScaleNormal="100" zoomScaleSheetLayoutView="75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13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2413.8837209302328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2413.8837209302328</v>
      </c>
      <c r="O6" s="233"/>
      <c r="P6" s="233"/>
    </row>
    <row r="7" spans="1:16" ht="13.5" thickBot="1">
      <c r="C7" s="431" t="s">
        <v>46</v>
      </c>
      <c r="D7" s="432" t="s">
        <v>259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572" t="s">
        <v>239</v>
      </c>
      <c r="E9" s="577" t="s">
        <v>294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22097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2010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513.88372093023258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9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D11</f>
        <v>2010</v>
      </c>
      <c r="D17" s="473">
        <v>0</v>
      </c>
      <c r="E17" s="479">
        <v>0</v>
      </c>
      <c r="F17" s="479">
        <v>0</v>
      </c>
      <c r="G17" s="479">
        <v>0</v>
      </c>
      <c r="H17" s="588">
        <v>0</v>
      </c>
      <c r="I17" s="475">
        <f t="shared" ref="I17:I48" si="0">H17-G17</f>
        <v>0</v>
      </c>
      <c r="J17" s="349"/>
      <c r="K17" s="476">
        <f t="shared" ref="K17:K22" si="1">G17</f>
        <v>0</v>
      </c>
      <c r="L17" s="589">
        <f t="shared" ref="L17:L48" si="2">IF(K17&lt;&gt;0,+G17-K17,0)</f>
        <v>0</v>
      </c>
      <c r="M17" s="476">
        <f t="shared" ref="M17:M22" si="3">H17</f>
        <v>0</v>
      </c>
      <c r="N17" s="559">
        <f t="shared" ref="N17:N48" si="4">IF(M17&lt;&gt;0,+H17-M17,0)</f>
        <v>0</v>
      </c>
      <c r="O17" s="478">
        <f t="shared" ref="O17:O48" si="5">+N17-L17</f>
        <v>0</v>
      </c>
      <c r="P17" s="243"/>
    </row>
    <row r="18" spans="2:16">
      <c r="B18" s="160" t="str">
        <f t="shared" ref="B18:B49" si="6">IF(D18=F17,"","IU")</f>
        <v/>
      </c>
      <c r="C18" s="472">
        <f>IF($D$11="","-",+C17+1)</f>
        <v>2011</v>
      </c>
      <c r="D18" s="473">
        <v>0</v>
      </c>
      <c r="E18" s="479">
        <v>0</v>
      </c>
      <c r="F18" s="479">
        <v>0</v>
      </c>
      <c r="G18" s="479">
        <v>0</v>
      </c>
      <c r="H18" s="588">
        <v>0</v>
      </c>
      <c r="I18" s="475">
        <f t="shared" si="0"/>
        <v>0</v>
      </c>
      <c r="J18" s="349"/>
      <c r="K18" s="476">
        <f t="shared" si="1"/>
        <v>0</v>
      </c>
      <c r="L18" s="349">
        <f t="shared" si="2"/>
        <v>0</v>
      </c>
      <c r="M18" s="476">
        <f t="shared" si="3"/>
        <v>0</v>
      </c>
      <c r="N18" s="475">
        <f t="shared" si="4"/>
        <v>0</v>
      </c>
      <c r="O18" s="478">
        <f t="shared" si="5"/>
        <v>0</v>
      </c>
      <c r="P18" s="243"/>
    </row>
    <row r="19" spans="2:16">
      <c r="B19" s="160" t="str">
        <f t="shared" si="6"/>
        <v>IU</v>
      </c>
      <c r="C19" s="472">
        <f>IF(D11="","-",+C18+1)</f>
        <v>2012</v>
      </c>
      <c r="D19" s="473">
        <v>22097</v>
      </c>
      <c r="E19" s="480">
        <v>212.47115384615381</v>
      </c>
      <c r="F19" s="473">
        <v>21884.528846153848</v>
      </c>
      <c r="G19" s="480">
        <v>3258.944937760969</v>
      </c>
      <c r="H19" s="481">
        <v>3258.944937760969</v>
      </c>
      <c r="I19" s="475">
        <f>H19-G19</f>
        <v>0</v>
      </c>
      <c r="J19" s="349"/>
      <c r="K19" s="476">
        <f t="shared" si="1"/>
        <v>3258.944937760969</v>
      </c>
      <c r="L19" s="349">
        <f t="shared" si="2"/>
        <v>0</v>
      </c>
      <c r="M19" s="476">
        <f t="shared" si="3"/>
        <v>3258.944937760969</v>
      </c>
      <c r="N19" s="475">
        <f t="shared" si="4"/>
        <v>0</v>
      </c>
      <c r="O19" s="478">
        <f t="shared" si="5"/>
        <v>0</v>
      </c>
      <c r="P19" s="243"/>
    </row>
    <row r="20" spans="2:16">
      <c r="B20" s="160" t="str">
        <f t="shared" si="6"/>
        <v/>
      </c>
      <c r="C20" s="472">
        <f>IF(D11="","-",+C19+1)</f>
        <v>2013</v>
      </c>
      <c r="D20" s="473">
        <v>21884.528846153848</v>
      </c>
      <c r="E20" s="480">
        <v>424.94230769230768</v>
      </c>
      <c r="F20" s="473">
        <v>21459.586538461539</v>
      </c>
      <c r="G20" s="480">
        <v>3489.9423076923076</v>
      </c>
      <c r="H20" s="481">
        <v>3489.9423076923076</v>
      </c>
      <c r="I20" s="475">
        <v>0</v>
      </c>
      <c r="J20" s="475"/>
      <c r="K20" s="476">
        <f t="shared" si="1"/>
        <v>3489.9423076923076</v>
      </c>
      <c r="L20" s="349">
        <f t="shared" ref="L20:L25" si="7">IF(K20&lt;&gt;0,+G20-K20,0)</f>
        <v>0</v>
      </c>
      <c r="M20" s="476">
        <f t="shared" si="3"/>
        <v>3489.9423076923076</v>
      </c>
      <c r="N20" s="475">
        <f t="shared" ref="N20:N25" si="8">IF(M20&lt;&gt;0,+H20-M20,0)</f>
        <v>0</v>
      </c>
      <c r="O20" s="478">
        <f t="shared" ref="O20:O25" si="9">+N20-L20</f>
        <v>0</v>
      </c>
      <c r="P20" s="243"/>
    </row>
    <row r="21" spans="2:16">
      <c r="B21" s="160" t="str">
        <f t="shared" si="6"/>
        <v/>
      </c>
      <c r="C21" s="472">
        <f>IF(D11="","-",+C20+1)</f>
        <v>2014</v>
      </c>
      <c r="D21" s="473">
        <v>21459.586538461539</v>
      </c>
      <c r="E21" s="480">
        <v>424.94230769230768</v>
      </c>
      <c r="F21" s="473">
        <v>21034.64423076923</v>
      </c>
      <c r="G21" s="480">
        <v>3320.9423076923076</v>
      </c>
      <c r="H21" s="481">
        <v>3320.9423076923076</v>
      </c>
      <c r="I21" s="475">
        <v>0</v>
      </c>
      <c r="J21" s="475"/>
      <c r="K21" s="476">
        <f t="shared" si="1"/>
        <v>3320.9423076923076</v>
      </c>
      <c r="L21" s="349">
        <f t="shared" si="7"/>
        <v>0</v>
      </c>
      <c r="M21" s="476">
        <f t="shared" si="3"/>
        <v>3320.9423076923076</v>
      </c>
      <c r="N21" s="475">
        <f t="shared" si="8"/>
        <v>0</v>
      </c>
      <c r="O21" s="478">
        <f t="shared" si="9"/>
        <v>0</v>
      </c>
      <c r="P21" s="243"/>
    </row>
    <row r="22" spans="2:16">
      <c r="B22" s="160" t="str">
        <f t="shared" si="6"/>
        <v/>
      </c>
      <c r="C22" s="472">
        <f>IF(D11="","-",+C21+1)</f>
        <v>2015</v>
      </c>
      <c r="D22" s="473">
        <v>21034.64423076923</v>
      </c>
      <c r="E22" s="480">
        <v>424.94230769230768</v>
      </c>
      <c r="F22" s="473">
        <v>20609.701923076922</v>
      </c>
      <c r="G22" s="480">
        <v>3265.9423076923076</v>
      </c>
      <c r="H22" s="481">
        <v>3265.9423076923076</v>
      </c>
      <c r="I22" s="475">
        <v>0</v>
      </c>
      <c r="J22" s="475"/>
      <c r="K22" s="476">
        <f t="shared" si="1"/>
        <v>3265.9423076923076</v>
      </c>
      <c r="L22" s="349">
        <f t="shared" si="7"/>
        <v>0</v>
      </c>
      <c r="M22" s="476">
        <f t="shared" si="3"/>
        <v>3265.9423076923076</v>
      </c>
      <c r="N22" s="475">
        <f t="shared" si="8"/>
        <v>0</v>
      </c>
      <c r="O22" s="478">
        <f t="shared" si="9"/>
        <v>0</v>
      </c>
      <c r="P22" s="243"/>
    </row>
    <row r="23" spans="2:16">
      <c r="B23" s="160" t="str">
        <f t="shared" si="6"/>
        <v/>
      </c>
      <c r="C23" s="472">
        <f>IF(D11="","-",+C22+1)</f>
        <v>2016</v>
      </c>
      <c r="D23" s="473">
        <v>20609.701923076922</v>
      </c>
      <c r="E23" s="480">
        <v>424.94230769230768</v>
      </c>
      <c r="F23" s="473">
        <v>20184.759615384613</v>
      </c>
      <c r="G23" s="480">
        <v>3071.9423076923076</v>
      </c>
      <c r="H23" s="481">
        <v>3071.9423076923076</v>
      </c>
      <c r="I23" s="475">
        <f t="shared" si="0"/>
        <v>0</v>
      </c>
      <c r="J23" s="475"/>
      <c r="K23" s="476">
        <f t="shared" ref="K23:K28" si="10">G23</f>
        <v>3071.9423076923076</v>
      </c>
      <c r="L23" s="349">
        <f t="shared" si="7"/>
        <v>0</v>
      </c>
      <c r="M23" s="476">
        <f t="shared" ref="M23:M28" si="11">H23</f>
        <v>3071.9423076923076</v>
      </c>
      <c r="N23" s="475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2017</v>
      </c>
      <c r="D24" s="473">
        <v>20184.759615384613</v>
      </c>
      <c r="E24" s="480">
        <v>480.36956521739131</v>
      </c>
      <c r="F24" s="473">
        <v>19704.390050167221</v>
      </c>
      <c r="G24" s="480">
        <v>2988.3695652173915</v>
      </c>
      <c r="H24" s="481">
        <v>2988.3695652173915</v>
      </c>
      <c r="I24" s="475">
        <f t="shared" si="0"/>
        <v>0</v>
      </c>
      <c r="J24" s="475"/>
      <c r="K24" s="476">
        <f t="shared" si="10"/>
        <v>2988.3695652173915</v>
      </c>
      <c r="L24" s="349">
        <f t="shared" si="7"/>
        <v>0</v>
      </c>
      <c r="M24" s="476">
        <f t="shared" si="11"/>
        <v>2988.3695652173915</v>
      </c>
      <c r="N24" s="475">
        <f t="shared" si="8"/>
        <v>0</v>
      </c>
      <c r="O24" s="478">
        <f t="shared" si="9"/>
        <v>0</v>
      </c>
      <c r="P24" s="243"/>
    </row>
    <row r="25" spans="2:16">
      <c r="B25" s="160" t="str">
        <f t="shared" si="6"/>
        <v/>
      </c>
      <c r="C25" s="472">
        <f>IF(D11="","-",+C24+1)</f>
        <v>2018</v>
      </c>
      <c r="D25" s="473">
        <v>19704.390050167221</v>
      </c>
      <c r="E25" s="480">
        <v>491.04444444444442</v>
      </c>
      <c r="F25" s="473">
        <v>19213.345605722778</v>
      </c>
      <c r="G25" s="480">
        <v>3091.0444444444443</v>
      </c>
      <c r="H25" s="481">
        <v>3091.0444444444443</v>
      </c>
      <c r="I25" s="475">
        <f t="shared" si="0"/>
        <v>0</v>
      </c>
      <c r="J25" s="475"/>
      <c r="K25" s="476">
        <f t="shared" si="10"/>
        <v>3091.0444444444443</v>
      </c>
      <c r="L25" s="349">
        <f t="shared" si="7"/>
        <v>0</v>
      </c>
      <c r="M25" s="476">
        <f t="shared" si="11"/>
        <v>3091.0444444444443</v>
      </c>
      <c r="N25" s="475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/>
      </c>
      <c r="C26" s="472">
        <f>IF(D11="","-",+C25+1)</f>
        <v>2019</v>
      </c>
      <c r="D26" s="473">
        <v>19213.345605722778</v>
      </c>
      <c r="E26" s="480">
        <v>491.04444444444442</v>
      </c>
      <c r="F26" s="473">
        <v>18722.301161278334</v>
      </c>
      <c r="G26" s="480">
        <v>3025.0444444444443</v>
      </c>
      <c r="H26" s="481">
        <v>3025.0444444444443</v>
      </c>
      <c r="I26" s="475">
        <f t="shared" si="0"/>
        <v>0</v>
      </c>
      <c r="J26" s="475"/>
      <c r="K26" s="476">
        <f t="shared" si="10"/>
        <v>3025.0444444444443</v>
      </c>
      <c r="L26" s="349">
        <f t="shared" ref="L26" si="12">IF(K26&lt;&gt;0,+G26-K26,0)</f>
        <v>0</v>
      </c>
      <c r="M26" s="476">
        <f t="shared" si="11"/>
        <v>3025.0444444444443</v>
      </c>
      <c r="N26" s="475">
        <f t="shared" ref="N26" si="13">IF(M26&lt;&gt;0,+H26-M26,0)</f>
        <v>0</v>
      </c>
      <c r="O26" s="478">
        <f t="shared" si="5"/>
        <v>0</v>
      </c>
      <c r="P26" s="243"/>
    </row>
    <row r="27" spans="2:16">
      <c r="B27" s="160" t="str">
        <f t="shared" si="6"/>
        <v/>
      </c>
      <c r="C27" s="472">
        <f>IF(D11="","-",+C26+1)</f>
        <v>2020</v>
      </c>
      <c r="D27" s="473">
        <v>18722.301161278334</v>
      </c>
      <c r="E27" s="480">
        <v>526.11904761904759</v>
      </c>
      <c r="F27" s="473">
        <v>18196.182113659288</v>
      </c>
      <c r="G27" s="480">
        <v>2519.8053226007855</v>
      </c>
      <c r="H27" s="481">
        <v>2519.8053226007855</v>
      </c>
      <c r="I27" s="475">
        <f t="shared" si="0"/>
        <v>0</v>
      </c>
      <c r="J27" s="475"/>
      <c r="K27" s="476">
        <f t="shared" si="10"/>
        <v>2519.8053226007855</v>
      </c>
      <c r="L27" s="349">
        <f t="shared" ref="L27" si="14">IF(K27&lt;&gt;0,+G27-K27,0)</f>
        <v>0</v>
      </c>
      <c r="M27" s="476">
        <f t="shared" si="11"/>
        <v>2519.8053226007855</v>
      </c>
      <c r="N27" s="478">
        <f t="shared" si="4"/>
        <v>0</v>
      </c>
      <c r="O27" s="478">
        <f t="shared" si="5"/>
        <v>0</v>
      </c>
      <c r="P27" s="243"/>
    </row>
    <row r="28" spans="2:16">
      <c r="B28" s="160" t="str">
        <f t="shared" si="6"/>
        <v>IU</v>
      </c>
      <c r="C28" s="472">
        <f>IF(D11="","-",+C27+1)</f>
        <v>2021</v>
      </c>
      <c r="D28" s="473">
        <v>18134.801558103733</v>
      </c>
      <c r="E28" s="480">
        <v>513.88372093023258</v>
      </c>
      <c r="F28" s="473">
        <v>17620.9178371735</v>
      </c>
      <c r="G28" s="480">
        <v>2413.8837209302328</v>
      </c>
      <c r="H28" s="481">
        <v>2413.8837209302328</v>
      </c>
      <c r="I28" s="475">
        <f t="shared" si="0"/>
        <v>0</v>
      </c>
      <c r="J28" s="475"/>
      <c r="K28" s="476">
        <f t="shared" si="10"/>
        <v>2413.8837209302328</v>
      </c>
      <c r="L28" s="349">
        <f t="shared" ref="L28" si="15">IF(K28&lt;&gt;0,+G28-K28,0)</f>
        <v>0</v>
      </c>
      <c r="M28" s="476">
        <f t="shared" si="11"/>
        <v>2413.8837209302328</v>
      </c>
      <c r="N28" s="478">
        <f t="shared" si="4"/>
        <v>0</v>
      </c>
      <c r="O28" s="478">
        <f t="shared" si="5"/>
        <v>0</v>
      </c>
      <c r="P28" s="243"/>
    </row>
    <row r="29" spans="2:16">
      <c r="B29" s="160" t="str">
        <f t="shared" si="6"/>
        <v>IU</v>
      </c>
      <c r="C29" s="472">
        <f>IF(D11="","-",+C28+1)</f>
        <v>2022</v>
      </c>
      <c r="D29" s="485">
        <f>IF(F28+SUM(E$17:E28)=D$10,F28,D$10-SUM(E$17:E28))</f>
        <v>17682.298392729055</v>
      </c>
      <c r="E29" s="484">
        <f>IF(+I14&lt;F28,I14,D29)</f>
        <v>513.88372093023258</v>
      </c>
      <c r="F29" s="485">
        <f t="shared" ref="F29:F48" si="16">+D29-E29</f>
        <v>17168.414671798822</v>
      </c>
      <c r="G29" s="486">
        <f t="shared" ref="G29:G72" si="17">(D29+F29)/2*I$12+E29</f>
        <v>2518.7813840759904</v>
      </c>
      <c r="H29" s="455">
        <f t="shared" ref="H29:H72" si="18">+(D29+F29)/2*I$13+E29</f>
        <v>2518.7813840759904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3"/>
    </row>
    <row r="30" spans="2:16">
      <c r="B30" s="160" t="str">
        <f t="shared" si="6"/>
        <v/>
      </c>
      <c r="C30" s="472">
        <f>IF(D11="","-",+C29+1)</f>
        <v>2023</v>
      </c>
      <c r="D30" s="485">
        <f>IF(F29+SUM(E$17:E29)=D$10,F29,D$10-SUM(E$17:E29))</f>
        <v>17168.414671798822</v>
      </c>
      <c r="E30" s="484">
        <f>IF(+I14&lt;F29,I14,D30)</f>
        <v>513.88372093023258</v>
      </c>
      <c r="F30" s="485">
        <f t="shared" si="16"/>
        <v>16654.53095086859</v>
      </c>
      <c r="G30" s="486">
        <f t="shared" si="17"/>
        <v>2459.6558063976199</v>
      </c>
      <c r="H30" s="455">
        <f t="shared" si="18"/>
        <v>2459.6558063976199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3"/>
    </row>
    <row r="31" spans="2:16">
      <c r="B31" s="160" t="str">
        <f t="shared" si="6"/>
        <v/>
      </c>
      <c r="C31" s="472">
        <f>IF(D11="","-",+C30+1)</f>
        <v>2024</v>
      </c>
      <c r="D31" s="485">
        <f>IF(F30+SUM(E$17:E30)=D$10,F30,D$10-SUM(E$17:E30))</f>
        <v>16654.53095086859</v>
      </c>
      <c r="E31" s="484">
        <f>IF(+I14&lt;F30,I14,D31)</f>
        <v>513.88372093023258</v>
      </c>
      <c r="F31" s="485">
        <f t="shared" si="16"/>
        <v>16140.647229938357</v>
      </c>
      <c r="G31" s="486">
        <f t="shared" si="17"/>
        <v>2400.5302287192499</v>
      </c>
      <c r="H31" s="455">
        <f t="shared" si="18"/>
        <v>2400.5302287192499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3"/>
    </row>
    <row r="32" spans="2:16">
      <c r="B32" s="160" t="str">
        <f t="shared" si="6"/>
        <v/>
      </c>
      <c r="C32" s="472">
        <f>IF(D11="","-",+C31+1)</f>
        <v>2025</v>
      </c>
      <c r="D32" s="485">
        <f>IF(F31+SUM(E$17:E31)=D$10,F31,D$10-SUM(E$17:E31))</f>
        <v>16140.647229938357</v>
      </c>
      <c r="E32" s="484">
        <f>IF(+I14&lt;F31,I14,D32)</f>
        <v>513.88372093023258</v>
      </c>
      <c r="F32" s="485">
        <f t="shared" si="16"/>
        <v>15626.763509008124</v>
      </c>
      <c r="G32" s="486">
        <f t="shared" si="17"/>
        <v>2341.4046510408789</v>
      </c>
      <c r="H32" s="455">
        <f t="shared" si="18"/>
        <v>2341.4046510408789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3"/>
    </row>
    <row r="33" spans="2:16">
      <c r="B33" s="160" t="str">
        <f t="shared" si="6"/>
        <v/>
      </c>
      <c r="C33" s="472">
        <f>IF(D11="","-",+C32+1)</f>
        <v>2026</v>
      </c>
      <c r="D33" s="485">
        <f>IF(F32+SUM(E$17:E32)=D$10,F32,D$10-SUM(E$17:E32))</f>
        <v>15626.763509008124</v>
      </c>
      <c r="E33" s="484">
        <f>IF(+I14&lt;F32,I14,D33)</f>
        <v>513.88372093023258</v>
      </c>
      <c r="F33" s="485">
        <f t="shared" si="16"/>
        <v>15112.879788077891</v>
      </c>
      <c r="G33" s="486">
        <f t="shared" si="17"/>
        <v>2282.2790733625088</v>
      </c>
      <c r="H33" s="455">
        <f t="shared" si="18"/>
        <v>2282.2790733625088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3"/>
    </row>
    <row r="34" spans="2:16">
      <c r="B34" s="160" t="str">
        <f t="shared" si="6"/>
        <v/>
      </c>
      <c r="C34" s="472">
        <f>IF(D11="","-",+C33+1)</f>
        <v>2027</v>
      </c>
      <c r="D34" s="485">
        <f>IF(F33+SUM(E$17:E33)=D$10,F33,D$10-SUM(E$17:E33))</f>
        <v>15112.879788077891</v>
      </c>
      <c r="E34" s="484">
        <f>IF(+I14&lt;F33,I14,D34)</f>
        <v>513.88372093023258</v>
      </c>
      <c r="F34" s="485">
        <f t="shared" si="16"/>
        <v>14598.996067147658</v>
      </c>
      <c r="G34" s="486">
        <f t="shared" si="17"/>
        <v>2223.1534956841383</v>
      </c>
      <c r="H34" s="455">
        <f t="shared" si="18"/>
        <v>2223.1534956841383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3"/>
    </row>
    <row r="35" spans="2:16">
      <c r="B35" s="160" t="str">
        <f t="shared" si="6"/>
        <v/>
      </c>
      <c r="C35" s="472">
        <f>IF(D11="","-",+C34+1)</f>
        <v>2028</v>
      </c>
      <c r="D35" s="485">
        <f>IF(F34+SUM(E$17:E34)=D$10,F34,D$10-SUM(E$17:E34))</f>
        <v>14598.996067147658</v>
      </c>
      <c r="E35" s="484">
        <f>IF(+I14&lt;F34,I14,D35)</f>
        <v>513.88372093023258</v>
      </c>
      <c r="F35" s="485">
        <f t="shared" si="16"/>
        <v>14085.112346217426</v>
      </c>
      <c r="G35" s="486">
        <f t="shared" si="17"/>
        <v>2164.0279180057678</v>
      </c>
      <c r="H35" s="455">
        <f t="shared" si="18"/>
        <v>2164.0279180057678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3"/>
    </row>
    <row r="36" spans="2:16">
      <c r="B36" s="160" t="str">
        <f t="shared" si="6"/>
        <v/>
      </c>
      <c r="C36" s="472">
        <f>IF(D11="","-",+C35+1)</f>
        <v>2029</v>
      </c>
      <c r="D36" s="485">
        <f>IF(F35+SUM(E$17:E35)=D$10,F35,D$10-SUM(E$17:E35))</f>
        <v>14085.112346217426</v>
      </c>
      <c r="E36" s="484">
        <f>IF(+I14&lt;F35,I14,D36)</f>
        <v>513.88372093023258</v>
      </c>
      <c r="F36" s="485">
        <f t="shared" si="16"/>
        <v>13571.228625287193</v>
      </c>
      <c r="G36" s="486">
        <f t="shared" si="17"/>
        <v>2104.9023403273977</v>
      </c>
      <c r="H36" s="455">
        <f t="shared" si="18"/>
        <v>2104.9023403273977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3"/>
    </row>
    <row r="37" spans="2:16">
      <c r="B37" s="160" t="str">
        <f t="shared" si="6"/>
        <v/>
      </c>
      <c r="C37" s="472">
        <f>IF(D11="","-",+C36+1)</f>
        <v>2030</v>
      </c>
      <c r="D37" s="485">
        <f>IF(F36+SUM(E$17:E36)=D$10,F36,D$10-SUM(E$17:E36))</f>
        <v>13571.228625287193</v>
      </c>
      <c r="E37" s="484">
        <f>IF(+I14&lt;F36,I14,D37)</f>
        <v>513.88372093023258</v>
      </c>
      <c r="F37" s="485">
        <f t="shared" si="16"/>
        <v>13057.34490435696</v>
      </c>
      <c r="G37" s="486">
        <f t="shared" si="17"/>
        <v>2045.7767626490272</v>
      </c>
      <c r="H37" s="455">
        <f t="shared" si="18"/>
        <v>2045.7767626490272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3"/>
    </row>
    <row r="38" spans="2:16">
      <c r="B38" s="160" t="str">
        <f t="shared" si="6"/>
        <v/>
      </c>
      <c r="C38" s="472">
        <f>IF(D11="","-",+C37+1)</f>
        <v>2031</v>
      </c>
      <c r="D38" s="485">
        <f>IF(F37+SUM(E$17:E37)=D$10,F37,D$10-SUM(E$17:E37))</f>
        <v>13057.34490435696</v>
      </c>
      <c r="E38" s="484">
        <f>IF(+I14&lt;F37,I14,D38)</f>
        <v>513.88372093023258</v>
      </c>
      <c r="F38" s="485">
        <f t="shared" si="16"/>
        <v>12543.461183426727</v>
      </c>
      <c r="G38" s="486">
        <f t="shared" si="17"/>
        <v>1986.6511849706567</v>
      </c>
      <c r="H38" s="455">
        <f t="shared" si="18"/>
        <v>1986.6511849706567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3"/>
    </row>
    <row r="39" spans="2:16">
      <c r="B39" s="160" t="str">
        <f t="shared" si="6"/>
        <v/>
      </c>
      <c r="C39" s="472">
        <f>IF(D11="","-",+C38+1)</f>
        <v>2032</v>
      </c>
      <c r="D39" s="485">
        <f>IF(F38+SUM(E$17:E38)=D$10,F38,D$10-SUM(E$17:E38))</f>
        <v>12543.461183426727</v>
      </c>
      <c r="E39" s="484">
        <f>IF(+I14&lt;F38,I14,D39)</f>
        <v>513.88372093023258</v>
      </c>
      <c r="F39" s="485">
        <f t="shared" si="16"/>
        <v>12029.577462496494</v>
      </c>
      <c r="G39" s="486">
        <f t="shared" si="17"/>
        <v>1927.5256072922864</v>
      </c>
      <c r="H39" s="455">
        <f t="shared" si="18"/>
        <v>1927.5256072922864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3"/>
    </row>
    <row r="40" spans="2:16">
      <c r="B40" s="160" t="str">
        <f t="shared" si="6"/>
        <v/>
      </c>
      <c r="C40" s="472">
        <f>IF(D11="","-",+C39+1)</f>
        <v>2033</v>
      </c>
      <c r="D40" s="485">
        <f>IF(F39+SUM(E$17:E39)=D$10,F39,D$10-SUM(E$17:E39))</f>
        <v>12029.577462496494</v>
      </c>
      <c r="E40" s="484">
        <f>IF(+I14&lt;F39,I14,D40)</f>
        <v>513.88372093023258</v>
      </c>
      <c r="F40" s="485">
        <f t="shared" si="16"/>
        <v>11515.693741566261</v>
      </c>
      <c r="G40" s="486">
        <f t="shared" si="17"/>
        <v>1868.4000296139159</v>
      </c>
      <c r="H40" s="455">
        <f t="shared" si="18"/>
        <v>1868.4000296139159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3"/>
    </row>
    <row r="41" spans="2:16">
      <c r="B41" s="160" t="str">
        <f t="shared" si="6"/>
        <v/>
      </c>
      <c r="C41" s="472">
        <f>IF(D11="","-",+C40+1)</f>
        <v>2034</v>
      </c>
      <c r="D41" s="485">
        <f>IF(F40+SUM(E$17:E40)=D$10,F40,D$10-SUM(E$17:E40))</f>
        <v>11515.693741566261</v>
      </c>
      <c r="E41" s="484">
        <f>IF(+I14&lt;F40,I14,D41)</f>
        <v>513.88372093023258</v>
      </c>
      <c r="F41" s="485">
        <f t="shared" si="16"/>
        <v>11001.810020636029</v>
      </c>
      <c r="G41" s="486">
        <f t="shared" si="17"/>
        <v>1809.2744519355456</v>
      </c>
      <c r="H41" s="455">
        <f t="shared" si="18"/>
        <v>1809.2744519355456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3"/>
    </row>
    <row r="42" spans="2:16">
      <c r="B42" s="160" t="str">
        <f t="shared" si="6"/>
        <v/>
      </c>
      <c r="C42" s="472">
        <f>IF(D11="","-",+C41+1)</f>
        <v>2035</v>
      </c>
      <c r="D42" s="485">
        <f>IF(F41+SUM(E$17:E41)=D$10,F41,D$10-SUM(E$17:E41))</f>
        <v>11001.810020636029</v>
      </c>
      <c r="E42" s="484">
        <f>IF(+I14&lt;F41,I14,D42)</f>
        <v>513.88372093023258</v>
      </c>
      <c r="F42" s="485">
        <f t="shared" si="16"/>
        <v>10487.926299705796</v>
      </c>
      <c r="G42" s="486">
        <f t="shared" si="17"/>
        <v>1750.1488742571751</v>
      </c>
      <c r="H42" s="455">
        <f t="shared" si="18"/>
        <v>1750.1488742571751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3"/>
    </row>
    <row r="43" spans="2:16">
      <c r="B43" s="160" t="str">
        <f t="shared" si="6"/>
        <v/>
      </c>
      <c r="C43" s="472">
        <f>IF(D11="","-",+C42+1)</f>
        <v>2036</v>
      </c>
      <c r="D43" s="485">
        <f>IF(F42+SUM(E$17:E42)=D$10,F42,D$10-SUM(E$17:E42))</f>
        <v>10487.926299705796</v>
      </c>
      <c r="E43" s="484">
        <f>IF(+I14&lt;F42,I14,D43)</f>
        <v>513.88372093023258</v>
      </c>
      <c r="F43" s="485">
        <f t="shared" si="16"/>
        <v>9974.042578775563</v>
      </c>
      <c r="G43" s="486">
        <f t="shared" si="17"/>
        <v>1691.0232965788048</v>
      </c>
      <c r="H43" s="455">
        <f t="shared" si="18"/>
        <v>1691.0232965788048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3"/>
    </row>
    <row r="44" spans="2:16">
      <c r="B44" s="160" t="str">
        <f t="shared" si="6"/>
        <v/>
      </c>
      <c r="C44" s="472">
        <f>IF(D11="","-",+C43+1)</f>
        <v>2037</v>
      </c>
      <c r="D44" s="485">
        <f>IF(F43+SUM(E$17:E43)=D$10,F43,D$10-SUM(E$17:E43))</f>
        <v>9974.042578775563</v>
      </c>
      <c r="E44" s="484">
        <f>IF(+I14&lt;F43,I14,D44)</f>
        <v>513.88372093023258</v>
      </c>
      <c r="F44" s="485">
        <f t="shared" si="16"/>
        <v>9460.1588578453302</v>
      </c>
      <c r="G44" s="486">
        <f t="shared" si="17"/>
        <v>1631.8977189004343</v>
      </c>
      <c r="H44" s="455">
        <f t="shared" si="18"/>
        <v>1631.8977189004343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3"/>
    </row>
    <row r="45" spans="2:16">
      <c r="B45" s="160" t="str">
        <f t="shared" si="6"/>
        <v/>
      </c>
      <c r="C45" s="472">
        <f>IF(D11="","-",+C44+1)</f>
        <v>2038</v>
      </c>
      <c r="D45" s="485">
        <f>IF(F44+SUM(E$17:E44)=D$10,F44,D$10-SUM(E$17:E44))</f>
        <v>9460.1588578453302</v>
      </c>
      <c r="E45" s="484">
        <f>IF(+I14&lt;F44,I14,D45)</f>
        <v>513.88372093023258</v>
      </c>
      <c r="F45" s="485">
        <f t="shared" si="16"/>
        <v>8946.2751369150974</v>
      </c>
      <c r="G45" s="486">
        <f t="shared" si="17"/>
        <v>1572.772141222064</v>
      </c>
      <c r="H45" s="455">
        <f t="shared" si="18"/>
        <v>1572.772141222064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3"/>
    </row>
    <row r="46" spans="2:16">
      <c r="B46" s="160" t="str">
        <f t="shared" si="6"/>
        <v/>
      </c>
      <c r="C46" s="472">
        <f>IF(D11="","-",+C45+1)</f>
        <v>2039</v>
      </c>
      <c r="D46" s="485">
        <f>IF(F45+SUM(E$17:E45)=D$10,F45,D$10-SUM(E$17:E45))</f>
        <v>8946.2751369150974</v>
      </c>
      <c r="E46" s="484">
        <f>IF(+I14&lt;F45,I14,D46)</f>
        <v>513.88372093023258</v>
      </c>
      <c r="F46" s="485">
        <f t="shared" si="16"/>
        <v>8432.3914159848646</v>
      </c>
      <c r="G46" s="486">
        <f t="shared" si="17"/>
        <v>1513.6465635436934</v>
      </c>
      <c r="H46" s="455">
        <f t="shared" si="18"/>
        <v>1513.6465635436934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3"/>
    </row>
    <row r="47" spans="2:16">
      <c r="B47" s="160" t="str">
        <f t="shared" si="6"/>
        <v/>
      </c>
      <c r="C47" s="472">
        <f>IF(D11="","-",+C46+1)</f>
        <v>2040</v>
      </c>
      <c r="D47" s="485">
        <f>IF(F46+SUM(E$17:E46)=D$10,F46,D$10-SUM(E$17:E46))</f>
        <v>8432.3914159848646</v>
      </c>
      <c r="E47" s="484">
        <f>IF(+I14&lt;F46,I14,D47)</f>
        <v>513.88372093023258</v>
      </c>
      <c r="F47" s="485">
        <f t="shared" si="16"/>
        <v>7918.5076950546318</v>
      </c>
      <c r="G47" s="486">
        <f t="shared" si="17"/>
        <v>1454.5209858653232</v>
      </c>
      <c r="H47" s="455">
        <f t="shared" si="18"/>
        <v>1454.5209858653232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3"/>
    </row>
    <row r="48" spans="2:16">
      <c r="B48" s="160" t="str">
        <f t="shared" si="6"/>
        <v/>
      </c>
      <c r="C48" s="472">
        <f>IF(D11="","-",+C47+1)</f>
        <v>2041</v>
      </c>
      <c r="D48" s="485">
        <f>IF(F47+SUM(E$17:E47)=D$10,F47,D$10-SUM(E$17:E47))</f>
        <v>7918.5076950546318</v>
      </c>
      <c r="E48" s="484">
        <f>IF(+I14&lt;F47,I14,D48)</f>
        <v>513.88372093023258</v>
      </c>
      <c r="F48" s="485">
        <f t="shared" si="16"/>
        <v>7404.623974124399</v>
      </c>
      <c r="G48" s="486">
        <f t="shared" si="17"/>
        <v>1395.3954081869529</v>
      </c>
      <c r="H48" s="455">
        <f t="shared" si="18"/>
        <v>1395.3954081869529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3"/>
    </row>
    <row r="49" spans="2:16">
      <c r="B49" s="160" t="str">
        <f t="shared" si="6"/>
        <v/>
      </c>
      <c r="C49" s="472">
        <f>IF(D11="","-",+C48+1)</f>
        <v>2042</v>
      </c>
      <c r="D49" s="485">
        <f>IF(F48+SUM(E$17:E48)=D$10,F48,D$10-SUM(E$17:E48))</f>
        <v>7404.623974124399</v>
      </c>
      <c r="E49" s="484">
        <f>IF(+I14&lt;F48,I14,D49)</f>
        <v>513.88372093023258</v>
      </c>
      <c r="F49" s="485">
        <f t="shared" ref="F49:F72" si="19">+D49-E49</f>
        <v>6890.7402531941661</v>
      </c>
      <c r="G49" s="486">
        <f t="shared" si="17"/>
        <v>1336.2698305085823</v>
      </c>
      <c r="H49" s="455">
        <f t="shared" si="18"/>
        <v>1336.2698305085823</v>
      </c>
      <c r="I49" s="475">
        <f t="shared" ref="I49:I72" si="20">H49-G49</f>
        <v>0</v>
      </c>
      <c r="J49" s="475"/>
      <c r="K49" s="487"/>
      <c r="L49" s="478">
        <f t="shared" ref="L49:L72" si="21">IF(K49&lt;&gt;0,+G49-K49,0)</f>
        <v>0</v>
      </c>
      <c r="M49" s="487"/>
      <c r="N49" s="478">
        <f t="shared" ref="N49:N72" si="22">IF(M49&lt;&gt;0,+H49-M49,0)</f>
        <v>0</v>
      </c>
      <c r="O49" s="478">
        <f t="shared" ref="O49:O72" si="23">+N49-L49</f>
        <v>0</v>
      </c>
      <c r="P49" s="243"/>
    </row>
    <row r="50" spans="2:16">
      <c r="B50" s="160" t="str">
        <f t="shared" ref="B50:B72" si="24">IF(D50=F49,"","IU")</f>
        <v/>
      </c>
      <c r="C50" s="472">
        <f>IF(D11="","-",+C49+1)</f>
        <v>2043</v>
      </c>
      <c r="D50" s="485">
        <f>IF(F49+SUM(E$17:E49)=D$10,F49,D$10-SUM(E$17:E49))</f>
        <v>6890.7402531941661</v>
      </c>
      <c r="E50" s="484">
        <f>IF(+I14&lt;F49,I14,D50)</f>
        <v>513.88372093023258</v>
      </c>
      <c r="F50" s="485">
        <f t="shared" si="19"/>
        <v>6376.8565322639333</v>
      </c>
      <c r="G50" s="486">
        <f t="shared" si="17"/>
        <v>1277.1442528302121</v>
      </c>
      <c r="H50" s="455">
        <f t="shared" si="18"/>
        <v>1277.1442528302121</v>
      </c>
      <c r="I50" s="475">
        <f t="shared" si="20"/>
        <v>0</v>
      </c>
      <c r="J50" s="475"/>
      <c r="K50" s="487"/>
      <c r="L50" s="478">
        <f t="shared" si="21"/>
        <v>0</v>
      </c>
      <c r="M50" s="487"/>
      <c r="N50" s="478">
        <f t="shared" si="22"/>
        <v>0</v>
      </c>
      <c r="O50" s="478">
        <f t="shared" si="23"/>
        <v>0</v>
      </c>
      <c r="P50" s="243"/>
    </row>
    <row r="51" spans="2:16">
      <c r="B51" s="160" t="str">
        <f t="shared" si="24"/>
        <v/>
      </c>
      <c r="C51" s="472">
        <f>IF(D11="","-",+C50+1)</f>
        <v>2044</v>
      </c>
      <c r="D51" s="485">
        <f>IF(F50+SUM(E$17:E50)=D$10,F50,D$10-SUM(E$17:E50))</f>
        <v>6376.8565322639333</v>
      </c>
      <c r="E51" s="484">
        <f>IF(+I14&lt;F50,I14,D51)</f>
        <v>513.88372093023258</v>
      </c>
      <c r="F51" s="485">
        <f t="shared" si="19"/>
        <v>5862.9728113337005</v>
      </c>
      <c r="G51" s="486">
        <f t="shared" si="17"/>
        <v>1218.0186751518418</v>
      </c>
      <c r="H51" s="455">
        <f t="shared" si="18"/>
        <v>1218.0186751518418</v>
      </c>
      <c r="I51" s="475">
        <f t="shared" si="20"/>
        <v>0</v>
      </c>
      <c r="J51" s="475"/>
      <c r="K51" s="487"/>
      <c r="L51" s="478">
        <f t="shared" si="21"/>
        <v>0</v>
      </c>
      <c r="M51" s="487"/>
      <c r="N51" s="478">
        <f t="shared" si="22"/>
        <v>0</v>
      </c>
      <c r="O51" s="478">
        <f t="shared" si="23"/>
        <v>0</v>
      </c>
      <c r="P51" s="243"/>
    </row>
    <row r="52" spans="2:16">
      <c r="B52" s="160" t="str">
        <f t="shared" si="24"/>
        <v/>
      </c>
      <c r="C52" s="472">
        <f>IF(D11="","-",+C51+1)</f>
        <v>2045</v>
      </c>
      <c r="D52" s="485">
        <f>IF(F51+SUM(E$17:E51)=D$10,F51,D$10-SUM(E$17:E51))</f>
        <v>5862.9728113337005</v>
      </c>
      <c r="E52" s="484">
        <f>IF(+I14&lt;F51,I14,D52)</f>
        <v>513.88372093023258</v>
      </c>
      <c r="F52" s="485">
        <f t="shared" si="19"/>
        <v>5349.0890904034677</v>
      </c>
      <c r="G52" s="486">
        <f t="shared" si="17"/>
        <v>1158.8930974734712</v>
      </c>
      <c r="H52" s="455">
        <f t="shared" si="18"/>
        <v>1158.8930974734712</v>
      </c>
      <c r="I52" s="475">
        <f t="shared" si="20"/>
        <v>0</v>
      </c>
      <c r="J52" s="475"/>
      <c r="K52" s="487"/>
      <c r="L52" s="478">
        <f t="shared" si="21"/>
        <v>0</v>
      </c>
      <c r="M52" s="487"/>
      <c r="N52" s="478">
        <f t="shared" si="22"/>
        <v>0</v>
      </c>
      <c r="O52" s="478">
        <f t="shared" si="23"/>
        <v>0</v>
      </c>
      <c r="P52" s="243"/>
    </row>
    <row r="53" spans="2:16">
      <c r="B53" s="160" t="str">
        <f t="shared" si="24"/>
        <v/>
      </c>
      <c r="C53" s="472">
        <f>IF(D11="","-",+C52+1)</f>
        <v>2046</v>
      </c>
      <c r="D53" s="485">
        <f>IF(F52+SUM(E$17:E52)=D$10,F52,D$10-SUM(E$17:E52))</f>
        <v>5349.0890904034677</v>
      </c>
      <c r="E53" s="484">
        <f>IF(+I14&lt;F52,I14,D53)</f>
        <v>513.88372093023258</v>
      </c>
      <c r="F53" s="485">
        <f t="shared" si="19"/>
        <v>4835.2053694732349</v>
      </c>
      <c r="G53" s="486">
        <f t="shared" si="17"/>
        <v>1099.7675197951007</v>
      </c>
      <c r="H53" s="455">
        <f t="shared" si="18"/>
        <v>1099.7675197951007</v>
      </c>
      <c r="I53" s="475">
        <f t="shared" si="20"/>
        <v>0</v>
      </c>
      <c r="J53" s="475"/>
      <c r="K53" s="487"/>
      <c r="L53" s="478">
        <f t="shared" si="21"/>
        <v>0</v>
      </c>
      <c r="M53" s="487"/>
      <c r="N53" s="478">
        <f t="shared" si="22"/>
        <v>0</v>
      </c>
      <c r="O53" s="478">
        <f t="shared" si="23"/>
        <v>0</v>
      </c>
      <c r="P53" s="243"/>
    </row>
    <row r="54" spans="2:16">
      <c r="B54" s="160" t="str">
        <f t="shared" si="24"/>
        <v/>
      </c>
      <c r="C54" s="472">
        <f>IF(D11="","-",+C53+1)</f>
        <v>2047</v>
      </c>
      <c r="D54" s="485">
        <f>IF(F53+SUM(E$17:E53)=D$10,F53,D$10-SUM(E$17:E53))</f>
        <v>4835.2053694732349</v>
      </c>
      <c r="E54" s="484">
        <f>IF(+I14&lt;F53,I14,D54)</f>
        <v>513.88372093023258</v>
      </c>
      <c r="F54" s="485">
        <f t="shared" si="19"/>
        <v>4321.3216485430021</v>
      </c>
      <c r="G54" s="486">
        <f t="shared" si="17"/>
        <v>1040.6419421167304</v>
      </c>
      <c r="H54" s="455">
        <f t="shared" si="18"/>
        <v>1040.6419421167304</v>
      </c>
      <c r="I54" s="475">
        <f t="shared" si="20"/>
        <v>0</v>
      </c>
      <c r="J54" s="475"/>
      <c r="K54" s="487"/>
      <c r="L54" s="478">
        <f t="shared" si="21"/>
        <v>0</v>
      </c>
      <c r="M54" s="487"/>
      <c r="N54" s="478">
        <f t="shared" si="22"/>
        <v>0</v>
      </c>
      <c r="O54" s="478">
        <f t="shared" si="23"/>
        <v>0</v>
      </c>
      <c r="P54" s="243"/>
    </row>
    <row r="55" spans="2:16">
      <c r="B55" s="160" t="str">
        <f t="shared" si="24"/>
        <v/>
      </c>
      <c r="C55" s="472">
        <f>IF(D11="","-",+C54+1)</f>
        <v>2048</v>
      </c>
      <c r="D55" s="485">
        <f>IF(F54+SUM(E$17:E54)=D$10,F54,D$10-SUM(E$17:E54))</f>
        <v>4321.3216485430021</v>
      </c>
      <c r="E55" s="484">
        <f>IF(+I14&lt;F54,I14,D55)</f>
        <v>513.88372093023258</v>
      </c>
      <c r="F55" s="485">
        <f t="shared" si="19"/>
        <v>3807.4379276127693</v>
      </c>
      <c r="G55" s="486">
        <f t="shared" si="17"/>
        <v>981.51636443836003</v>
      </c>
      <c r="H55" s="455">
        <f t="shared" si="18"/>
        <v>981.51636443836003</v>
      </c>
      <c r="I55" s="475">
        <f t="shared" si="20"/>
        <v>0</v>
      </c>
      <c r="J55" s="475"/>
      <c r="K55" s="487"/>
      <c r="L55" s="478">
        <f t="shared" si="21"/>
        <v>0</v>
      </c>
      <c r="M55" s="487"/>
      <c r="N55" s="478">
        <f t="shared" si="22"/>
        <v>0</v>
      </c>
      <c r="O55" s="478">
        <f t="shared" si="23"/>
        <v>0</v>
      </c>
      <c r="P55" s="243"/>
    </row>
    <row r="56" spans="2:16">
      <c r="B56" s="160" t="str">
        <f t="shared" si="24"/>
        <v/>
      </c>
      <c r="C56" s="472">
        <f>IF(D11="","-",+C55+1)</f>
        <v>2049</v>
      </c>
      <c r="D56" s="485">
        <f>IF(F55+SUM(E$17:E55)=D$10,F55,D$10-SUM(E$17:E55))</f>
        <v>3807.4379276127693</v>
      </c>
      <c r="E56" s="484">
        <f>IF(+I14&lt;F55,I14,D56)</f>
        <v>513.88372093023258</v>
      </c>
      <c r="F56" s="485">
        <f t="shared" si="19"/>
        <v>3293.5542066825365</v>
      </c>
      <c r="G56" s="486">
        <f t="shared" si="17"/>
        <v>922.39078675998962</v>
      </c>
      <c r="H56" s="455">
        <f t="shared" si="18"/>
        <v>922.39078675998962</v>
      </c>
      <c r="I56" s="475">
        <f t="shared" si="20"/>
        <v>0</v>
      </c>
      <c r="J56" s="475"/>
      <c r="K56" s="487"/>
      <c r="L56" s="478">
        <f t="shared" si="21"/>
        <v>0</v>
      </c>
      <c r="M56" s="487"/>
      <c r="N56" s="478">
        <f t="shared" si="22"/>
        <v>0</v>
      </c>
      <c r="O56" s="478">
        <f t="shared" si="23"/>
        <v>0</v>
      </c>
      <c r="P56" s="243"/>
    </row>
    <row r="57" spans="2:16">
      <c r="B57" s="160" t="str">
        <f t="shared" si="24"/>
        <v/>
      </c>
      <c r="C57" s="472">
        <f>IF(D11="","-",+C56+1)</f>
        <v>2050</v>
      </c>
      <c r="D57" s="485">
        <f>IF(F56+SUM(E$17:E56)=D$10,F56,D$10-SUM(E$17:E56))</f>
        <v>3293.5542066825365</v>
      </c>
      <c r="E57" s="484">
        <f>IF(+I14&lt;F56,I14,D57)</f>
        <v>513.88372093023258</v>
      </c>
      <c r="F57" s="485">
        <f t="shared" si="19"/>
        <v>2779.6704857523036</v>
      </c>
      <c r="G57" s="486">
        <f t="shared" si="17"/>
        <v>863.26520908161933</v>
      </c>
      <c r="H57" s="455">
        <f t="shared" si="18"/>
        <v>863.26520908161933</v>
      </c>
      <c r="I57" s="475">
        <f t="shared" si="20"/>
        <v>0</v>
      </c>
      <c r="J57" s="475"/>
      <c r="K57" s="487"/>
      <c r="L57" s="478">
        <f t="shared" si="21"/>
        <v>0</v>
      </c>
      <c r="M57" s="487"/>
      <c r="N57" s="478">
        <f t="shared" si="22"/>
        <v>0</v>
      </c>
      <c r="O57" s="478">
        <f t="shared" si="23"/>
        <v>0</v>
      </c>
      <c r="P57" s="243"/>
    </row>
    <row r="58" spans="2:16">
      <c r="B58" s="160" t="str">
        <f t="shared" si="24"/>
        <v/>
      </c>
      <c r="C58" s="472">
        <f>IF(D11="","-",+C57+1)</f>
        <v>2051</v>
      </c>
      <c r="D58" s="485">
        <f>IF(F57+SUM(E$17:E57)=D$10,F57,D$10-SUM(E$17:E57))</f>
        <v>2779.6704857523036</v>
      </c>
      <c r="E58" s="484">
        <f>IF(+I14&lt;F57,I14,D58)</f>
        <v>513.88372093023258</v>
      </c>
      <c r="F58" s="485">
        <f t="shared" si="19"/>
        <v>2265.7867648220708</v>
      </c>
      <c r="G58" s="486">
        <f t="shared" si="17"/>
        <v>804.13963140324881</v>
      </c>
      <c r="H58" s="455">
        <f t="shared" si="18"/>
        <v>804.13963140324881</v>
      </c>
      <c r="I58" s="475">
        <f t="shared" si="20"/>
        <v>0</v>
      </c>
      <c r="J58" s="475"/>
      <c r="K58" s="487"/>
      <c r="L58" s="478">
        <f t="shared" si="21"/>
        <v>0</v>
      </c>
      <c r="M58" s="487"/>
      <c r="N58" s="478">
        <f t="shared" si="22"/>
        <v>0</v>
      </c>
      <c r="O58" s="478">
        <f t="shared" si="23"/>
        <v>0</v>
      </c>
      <c r="P58" s="243"/>
    </row>
    <row r="59" spans="2:16">
      <c r="B59" s="160" t="str">
        <f t="shared" si="24"/>
        <v/>
      </c>
      <c r="C59" s="472">
        <f>IF(D11="","-",+C58+1)</f>
        <v>2052</v>
      </c>
      <c r="D59" s="485">
        <f>IF(F58+SUM(E$17:E58)=D$10,F58,D$10-SUM(E$17:E58))</f>
        <v>2265.7867648220708</v>
      </c>
      <c r="E59" s="484">
        <f>IF(+I14&lt;F58,I14,D59)</f>
        <v>513.88372093023258</v>
      </c>
      <c r="F59" s="485">
        <f t="shared" si="19"/>
        <v>1751.9030438918383</v>
      </c>
      <c r="G59" s="486">
        <f t="shared" si="17"/>
        <v>745.01405372487852</v>
      </c>
      <c r="H59" s="455">
        <f t="shared" si="18"/>
        <v>745.01405372487852</v>
      </c>
      <c r="I59" s="475">
        <f t="shared" si="20"/>
        <v>0</v>
      </c>
      <c r="J59" s="475"/>
      <c r="K59" s="487"/>
      <c r="L59" s="478">
        <f t="shared" si="21"/>
        <v>0</v>
      </c>
      <c r="M59" s="487"/>
      <c r="N59" s="478">
        <f t="shared" si="22"/>
        <v>0</v>
      </c>
      <c r="O59" s="478">
        <f t="shared" si="23"/>
        <v>0</v>
      </c>
      <c r="P59" s="243"/>
    </row>
    <row r="60" spans="2:16">
      <c r="B60" s="160" t="str">
        <f t="shared" si="24"/>
        <v/>
      </c>
      <c r="C60" s="472">
        <f>IF(D11="","-",+C59+1)</f>
        <v>2053</v>
      </c>
      <c r="D60" s="485">
        <f>IF(F59+SUM(E$17:E59)=D$10,F59,D$10-SUM(E$17:E59))</f>
        <v>1751.9030438918383</v>
      </c>
      <c r="E60" s="484">
        <f>IF(+I14&lt;F59,I14,D60)</f>
        <v>513.88372093023258</v>
      </c>
      <c r="F60" s="485">
        <f t="shared" si="19"/>
        <v>1238.0193229616057</v>
      </c>
      <c r="G60" s="486">
        <f t="shared" si="17"/>
        <v>685.88847604650812</v>
      </c>
      <c r="H60" s="455">
        <f t="shared" si="18"/>
        <v>685.88847604650812</v>
      </c>
      <c r="I60" s="475">
        <f t="shared" si="20"/>
        <v>0</v>
      </c>
      <c r="J60" s="475"/>
      <c r="K60" s="487"/>
      <c r="L60" s="478">
        <f t="shared" si="21"/>
        <v>0</v>
      </c>
      <c r="M60" s="487"/>
      <c r="N60" s="478">
        <f t="shared" si="22"/>
        <v>0</v>
      </c>
      <c r="O60" s="478">
        <f t="shared" si="23"/>
        <v>0</v>
      </c>
      <c r="P60" s="243"/>
    </row>
    <row r="61" spans="2:16">
      <c r="B61" s="160" t="str">
        <f t="shared" si="24"/>
        <v/>
      </c>
      <c r="C61" s="472">
        <f>IF(D11="","-",+C60+1)</f>
        <v>2054</v>
      </c>
      <c r="D61" s="485">
        <f>IF(F60+SUM(E$17:E60)=D$10,F60,D$10-SUM(E$17:E60))</f>
        <v>1238.0193229616057</v>
      </c>
      <c r="E61" s="484">
        <f>IF(+I14&lt;F60,I14,D61)</f>
        <v>513.88372093023258</v>
      </c>
      <c r="F61" s="485">
        <f t="shared" si="19"/>
        <v>724.13560203137308</v>
      </c>
      <c r="G61" s="486">
        <f t="shared" si="17"/>
        <v>626.76289836813771</v>
      </c>
      <c r="H61" s="455">
        <f t="shared" si="18"/>
        <v>626.76289836813771</v>
      </c>
      <c r="I61" s="475">
        <f t="shared" si="20"/>
        <v>0</v>
      </c>
      <c r="J61" s="475"/>
      <c r="K61" s="487"/>
      <c r="L61" s="478">
        <f t="shared" si="21"/>
        <v>0</v>
      </c>
      <c r="M61" s="487"/>
      <c r="N61" s="478">
        <f t="shared" si="22"/>
        <v>0</v>
      </c>
      <c r="O61" s="478">
        <f t="shared" si="23"/>
        <v>0</v>
      </c>
      <c r="P61" s="243"/>
    </row>
    <row r="62" spans="2:16">
      <c r="B62" s="160" t="str">
        <f t="shared" si="24"/>
        <v/>
      </c>
      <c r="C62" s="472">
        <f>IF(D11="","-",+C61+1)</f>
        <v>2055</v>
      </c>
      <c r="D62" s="485">
        <f>IF(F61+SUM(E$17:E61)=D$10,F61,D$10-SUM(E$17:E61))</f>
        <v>724.13560203137308</v>
      </c>
      <c r="E62" s="484">
        <f>IF(+I14&lt;F61,I14,D62)</f>
        <v>513.88372093023258</v>
      </c>
      <c r="F62" s="485">
        <f t="shared" si="19"/>
        <v>210.2518811011405</v>
      </c>
      <c r="G62" s="486">
        <f t="shared" si="17"/>
        <v>567.63732068976742</v>
      </c>
      <c r="H62" s="455">
        <f t="shared" si="18"/>
        <v>567.63732068976742</v>
      </c>
      <c r="I62" s="475">
        <f t="shared" si="20"/>
        <v>0</v>
      </c>
      <c r="J62" s="475"/>
      <c r="K62" s="487"/>
      <c r="L62" s="478">
        <f t="shared" si="21"/>
        <v>0</v>
      </c>
      <c r="M62" s="487"/>
      <c r="N62" s="478">
        <f t="shared" si="22"/>
        <v>0</v>
      </c>
      <c r="O62" s="478">
        <f t="shared" si="23"/>
        <v>0</v>
      </c>
      <c r="P62" s="243"/>
    </row>
    <row r="63" spans="2:16">
      <c r="B63" s="160" t="str">
        <f t="shared" si="24"/>
        <v/>
      </c>
      <c r="C63" s="472">
        <f>IF(D11="","-",+C62+1)</f>
        <v>2056</v>
      </c>
      <c r="D63" s="485">
        <f>IF(F62+SUM(E$17:E62)=D$10,F62,D$10-SUM(E$17:E62))</f>
        <v>210.2518811011405</v>
      </c>
      <c r="E63" s="484">
        <f>IF(+I14&lt;F62,I14,D63)</f>
        <v>210.2518811011405</v>
      </c>
      <c r="F63" s="485">
        <f t="shared" si="19"/>
        <v>0</v>
      </c>
      <c r="G63" s="486">
        <f t="shared" si="17"/>
        <v>222.34728656131531</v>
      </c>
      <c r="H63" s="455">
        <f t="shared" si="18"/>
        <v>222.34728656131531</v>
      </c>
      <c r="I63" s="475">
        <f t="shared" si="20"/>
        <v>0</v>
      </c>
      <c r="J63" s="475"/>
      <c r="K63" s="487"/>
      <c r="L63" s="478">
        <f t="shared" si="21"/>
        <v>0</v>
      </c>
      <c r="M63" s="487"/>
      <c r="N63" s="478">
        <f t="shared" si="22"/>
        <v>0</v>
      </c>
      <c r="O63" s="478">
        <f t="shared" si="23"/>
        <v>0</v>
      </c>
      <c r="P63" s="243"/>
    </row>
    <row r="64" spans="2:16">
      <c r="B64" s="160" t="str">
        <f t="shared" si="24"/>
        <v/>
      </c>
      <c r="C64" s="472">
        <f>IF(D11="","-",+C63+1)</f>
        <v>2057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9"/>
        <v>0</v>
      </c>
      <c r="G64" s="486">
        <f t="shared" si="17"/>
        <v>0</v>
      </c>
      <c r="H64" s="455">
        <f t="shared" si="18"/>
        <v>0</v>
      </c>
      <c r="I64" s="475">
        <f t="shared" si="20"/>
        <v>0</v>
      </c>
      <c r="J64" s="475"/>
      <c r="K64" s="487"/>
      <c r="L64" s="478">
        <f t="shared" si="21"/>
        <v>0</v>
      </c>
      <c r="M64" s="487"/>
      <c r="N64" s="478">
        <f t="shared" si="22"/>
        <v>0</v>
      </c>
      <c r="O64" s="478">
        <f t="shared" si="23"/>
        <v>0</v>
      </c>
      <c r="P64" s="243"/>
    </row>
    <row r="65" spans="2:16">
      <c r="B65" s="160" t="str">
        <f t="shared" si="24"/>
        <v/>
      </c>
      <c r="C65" s="472">
        <f>IF(D11="","-",+C64+1)</f>
        <v>2058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9"/>
        <v>0</v>
      </c>
      <c r="G65" s="486">
        <f t="shared" si="17"/>
        <v>0</v>
      </c>
      <c r="H65" s="455">
        <f t="shared" si="18"/>
        <v>0</v>
      </c>
      <c r="I65" s="475">
        <f t="shared" si="20"/>
        <v>0</v>
      </c>
      <c r="J65" s="475"/>
      <c r="K65" s="487"/>
      <c r="L65" s="478">
        <f t="shared" si="21"/>
        <v>0</v>
      </c>
      <c r="M65" s="487"/>
      <c r="N65" s="478">
        <f t="shared" si="22"/>
        <v>0</v>
      </c>
      <c r="O65" s="478">
        <f t="shared" si="23"/>
        <v>0</v>
      </c>
      <c r="P65" s="243"/>
    </row>
    <row r="66" spans="2:16">
      <c r="B66" s="160" t="str">
        <f t="shared" si="24"/>
        <v/>
      </c>
      <c r="C66" s="472">
        <f>IF(D11="","-",+C65+1)</f>
        <v>2059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9"/>
        <v>0</v>
      </c>
      <c r="G66" s="486">
        <f t="shared" si="17"/>
        <v>0</v>
      </c>
      <c r="H66" s="455">
        <f t="shared" si="18"/>
        <v>0</v>
      </c>
      <c r="I66" s="475">
        <f t="shared" si="20"/>
        <v>0</v>
      </c>
      <c r="J66" s="475"/>
      <c r="K66" s="487"/>
      <c r="L66" s="478">
        <f t="shared" si="21"/>
        <v>0</v>
      </c>
      <c r="M66" s="487"/>
      <c r="N66" s="478">
        <f t="shared" si="22"/>
        <v>0</v>
      </c>
      <c r="O66" s="478">
        <f t="shared" si="23"/>
        <v>0</v>
      </c>
      <c r="P66" s="243"/>
    </row>
    <row r="67" spans="2:16">
      <c r="B67" s="160" t="str">
        <f t="shared" si="24"/>
        <v/>
      </c>
      <c r="C67" s="472">
        <f>IF(D11="","-",+C66+1)</f>
        <v>2060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9"/>
        <v>0</v>
      </c>
      <c r="G67" s="486">
        <f t="shared" si="17"/>
        <v>0</v>
      </c>
      <c r="H67" s="455">
        <f t="shared" si="18"/>
        <v>0</v>
      </c>
      <c r="I67" s="475">
        <f t="shared" si="20"/>
        <v>0</v>
      </c>
      <c r="J67" s="475"/>
      <c r="K67" s="487"/>
      <c r="L67" s="478">
        <f t="shared" si="21"/>
        <v>0</v>
      </c>
      <c r="M67" s="487"/>
      <c r="N67" s="478">
        <f t="shared" si="22"/>
        <v>0</v>
      </c>
      <c r="O67" s="478">
        <f t="shared" si="23"/>
        <v>0</v>
      </c>
      <c r="P67" s="243"/>
    </row>
    <row r="68" spans="2:16">
      <c r="B68" s="160" t="str">
        <f t="shared" si="24"/>
        <v/>
      </c>
      <c r="C68" s="472">
        <f>IF(D11="","-",+C67+1)</f>
        <v>2061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9"/>
        <v>0</v>
      </c>
      <c r="G68" s="486">
        <f t="shared" si="17"/>
        <v>0</v>
      </c>
      <c r="H68" s="455">
        <f t="shared" si="18"/>
        <v>0</v>
      </c>
      <c r="I68" s="475">
        <f t="shared" si="20"/>
        <v>0</v>
      </c>
      <c r="J68" s="475"/>
      <c r="K68" s="487"/>
      <c r="L68" s="478">
        <f t="shared" si="21"/>
        <v>0</v>
      </c>
      <c r="M68" s="487"/>
      <c r="N68" s="478">
        <f t="shared" si="22"/>
        <v>0</v>
      </c>
      <c r="O68" s="478">
        <f t="shared" si="23"/>
        <v>0</v>
      </c>
      <c r="P68" s="243"/>
    </row>
    <row r="69" spans="2:16">
      <c r="B69" s="160" t="str">
        <f t="shared" si="24"/>
        <v/>
      </c>
      <c r="C69" s="472">
        <f>IF(D11="","-",+C68+1)</f>
        <v>2062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9"/>
        <v>0</v>
      </c>
      <c r="G69" s="486">
        <f t="shared" si="17"/>
        <v>0</v>
      </c>
      <c r="H69" s="455">
        <f t="shared" si="18"/>
        <v>0</v>
      </c>
      <c r="I69" s="475">
        <f t="shared" si="20"/>
        <v>0</v>
      </c>
      <c r="J69" s="475"/>
      <c r="K69" s="487"/>
      <c r="L69" s="478">
        <f t="shared" si="21"/>
        <v>0</v>
      </c>
      <c r="M69" s="487"/>
      <c r="N69" s="478">
        <f t="shared" si="22"/>
        <v>0</v>
      </c>
      <c r="O69" s="478">
        <f t="shared" si="23"/>
        <v>0</v>
      </c>
      <c r="P69" s="243"/>
    </row>
    <row r="70" spans="2:16">
      <c r="B70" s="160" t="str">
        <f t="shared" si="24"/>
        <v/>
      </c>
      <c r="C70" s="472">
        <f>IF(D11="","-",+C69+1)</f>
        <v>2063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9"/>
        <v>0</v>
      </c>
      <c r="G70" s="486">
        <f t="shared" si="17"/>
        <v>0</v>
      </c>
      <c r="H70" s="455">
        <f t="shared" si="18"/>
        <v>0</v>
      </c>
      <c r="I70" s="475">
        <f t="shared" si="20"/>
        <v>0</v>
      </c>
      <c r="J70" s="475"/>
      <c r="K70" s="487"/>
      <c r="L70" s="478">
        <f t="shared" si="21"/>
        <v>0</v>
      </c>
      <c r="M70" s="487"/>
      <c r="N70" s="478">
        <f t="shared" si="22"/>
        <v>0</v>
      </c>
      <c r="O70" s="478">
        <f t="shared" si="23"/>
        <v>0</v>
      </c>
      <c r="P70" s="243"/>
    </row>
    <row r="71" spans="2:16">
      <c r="B71" s="160" t="str">
        <f t="shared" si="24"/>
        <v/>
      </c>
      <c r="C71" s="472">
        <f>IF(D11="","-",+C70+1)</f>
        <v>2064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9"/>
        <v>0</v>
      </c>
      <c r="G71" s="486">
        <f t="shared" si="17"/>
        <v>0</v>
      </c>
      <c r="H71" s="455">
        <f t="shared" si="18"/>
        <v>0</v>
      </c>
      <c r="I71" s="475">
        <f t="shared" si="20"/>
        <v>0</v>
      </c>
      <c r="J71" s="475"/>
      <c r="K71" s="487"/>
      <c r="L71" s="478">
        <f t="shared" si="21"/>
        <v>0</v>
      </c>
      <c r="M71" s="487"/>
      <c r="N71" s="478">
        <f t="shared" si="22"/>
        <v>0</v>
      </c>
      <c r="O71" s="478">
        <f t="shared" si="23"/>
        <v>0</v>
      </c>
      <c r="P71" s="243"/>
    </row>
    <row r="72" spans="2:16" ht="13.5" thickBot="1">
      <c r="B72" s="160" t="str">
        <f t="shared" si="24"/>
        <v/>
      </c>
      <c r="C72" s="489">
        <f>IF(D11="","-",+C71+1)</f>
        <v>2065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9"/>
        <v>0</v>
      </c>
      <c r="G72" s="490">
        <f t="shared" si="17"/>
        <v>0</v>
      </c>
      <c r="H72" s="490">
        <f t="shared" si="18"/>
        <v>0</v>
      </c>
      <c r="I72" s="493">
        <f t="shared" si="20"/>
        <v>0</v>
      </c>
      <c r="J72" s="475"/>
      <c r="K72" s="494"/>
      <c r="L72" s="495">
        <f t="shared" si="21"/>
        <v>0</v>
      </c>
      <c r="M72" s="494"/>
      <c r="N72" s="495">
        <f t="shared" si="22"/>
        <v>0</v>
      </c>
      <c r="O72" s="495">
        <f t="shared" si="23"/>
        <v>0</v>
      </c>
      <c r="P72" s="243"/>
    </row>
    <row r="73" spans="2:16">
      <c r="C73" s="347" t="s">
        <v>77</v>
      </c>
      <c r="D73" s="348"/>
      <c r="E73" s="348">
        <f>SUM(E17:E72)</f>
        <v>22097</v>
      </c>
      <c r="F73" s="348"/>
      <c r="G73" s="348">
        <f>SUM(G17:G72)</f>
        <v>83137.326933746721</v>
      </c>
      <c r="H73" s="348">
        <f>SUM(H17:H72)</f>
        <v>83137.326933746721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13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2413.8837209302328</v>
      </c>
      <c r="N87" s="508">
        <f>IF(J92&lt;D11,0,VLOOKUP(J92,C17:O72,11))</f>
        <v>2413.8837209302328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2565.9910222694648</v>
      </c>
      <c r="N88" s="512">
        <f>IF(J92&lt;D11,0,VLOOKUP(J92,C99:P154,7))</f>
        <v>2565.9910222694648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CoffeyvilleT to Dearing 138 kv Rebuild - 1.1 mi*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152.10730133923198</v>
      </c>
      <c r="N89" s="517">
        <f>+N88-N87</f>
        <v>152.10730133923198</v>
      </c>
      <c r="O89" s="518">
        <f>+O88-O87</f>
        <v>0</v>
      </c>
      <c r="P89" s="233"/>
    </row>
    <row r="90" spans="1:16" ht="13.5" thickBot="1">
      <c r="C90" s="496"/>
      <c r="D90" s="519" t="str">
        <f>D8</f>
        <v>DOES NOT MEET SPP $100,000 MINIMUM INVESTMENT FOR REGIONAL BPU SHARING.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TP2008013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22097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2010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539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590">
        <f>D93</f>
        <v>2010</v>
      </c>
      <c r="D99" s="591">
        <v>0</v>
      </c>
      <c r="E99" s="592">
        <v>0</v>
      </c>
      <c r="F99" s="592">
        <v>0</v>
      </c>
      <c r="G99" s="592">
        <v>0</v>
      </c>
      <c r="H99" s="593">
        <v>0</v>
      </c>
      <c r="I99" s="592">
        <v>0</v>
      </c>
      <c r="J99" s="594">
        <v>0</v>
      </c>
      <c r="K99" s="478"/>
      <c r="L99" s="567">
        <f t="shared" ref="L99:L104" si="25">H99</f>
        <v>0</v>
      </c>
      <c r="M99" s="568">
        <f t="shared" ref="M99:M104" si="26">IF(L99&lt;&gt;0,+H99-L99,0)</f>
        <v>0</v>
      </c>
      <c r="N99" s="567">
        <f t="shared" ref="N99:N104" si="27">I99</f>
        <v>0</v>
      </c>
      <c r="O99" s="477">
        <f t="shared" ref="O99:O104" si="28">IF(N99&lt;&gt;0,+I99-N99,0)</f>
        <v>0</v>
      </c>
      <c r="P99" s="477">
        <f t="shared" ref="P99:P104" si="29">+O99-M99</f>
        <v>0</v>
      </c>
    </row>
    <row r="100" spans="1:16">
      <c r="C100" s="472">
        <f>IF(D91="","-",+C99+1)</f>
        <v>2011</v>
      </c>
      <c r="D100" s="595">
        <v>0</v>
      </c>
      <c r="E100" s="596">
        <v>0</v>
      </c>
      <c r="F100" s="596">
        <v>0</v>
      </c>
      <c r="G100" s="596">
        <v>0</v>
      </c>
      <c r="H100" s="597">
        <v>0</v>
      </c>
      <c r="I100" s="596">
        <v>0</v>
      </c>
      <c r="J100" s="598">
        <v>0</v>
      </c>
      <c r="K100" s="478"/>
      <c r="L100" s="540">
        <f t="shared" si="25"/>
        <v>0</v>
      </c>
      <c r="M100" s="541">
        <f t="shared" si="26"/>
        <v>0</v>
      </c>
      <c r="N100" s="540">
        <f t="shared" si="27"/>
        <v>0</v>
      </c>
      <c r="O100" s="478">
        <f t="shared" si="28"/>
        <v>0</v>
      </c>
      <c r="P100" s="478">
        <f t="shared" si="29"/>
        <v>0</v>
      </c>
    </row>
    <row r="101" spans="1:16">
      <c r="C101" s="472">
        <f>IF(D92="","-",+C100+1)</f>
        <v>2012</v>
      </c>
      <c r="D101" s="578">
        <v>22097</v>
      </c>
      <c r="E101" s="579">
        <v>212.5</v>
      </c>
      <c r="F101" s="580">
        <v>21884.5</v>
      </c>
      <c r="G101" s="580">
        <v>21990.75</v>
      </c>
      <c r="H101" s="582">
        <v>3375.9899363381005</v>
      </c>
      <c r="I101" s="583">
        <v>3375.9899363381005</v>
      </c>
      <c r="J101" s="478">
        <v>0</v>
      </c>
      <c r="K101" s="478"/>
      <c r="L101" s="540">
        <f t="shared" si="25"/>
        <v>3375.9899363381005</v>
      </c>
      <c r="M101" s="541">
        <f t="shared" si="26"/>
        <v>0</v>
      </c>
      <c r="N101" s="540">
        <f t="shared" si="27"/>
        <v>3375.9899363381005</v>
      </c>
      <c r="O101" s="478">
        <f t="shared" si="28"/>
        <v>0</v>
      </c>
      <c r="P101" s="478">
        <f t="shared" si="29"/>
        <v>0</v>
      </c>
    </row>
    <row r="102" spans="1:16">
      <c r="B102" s="160" t="str">
        <f t="shared" ref="B102:B133" si="30">IF(D102=F101,"","IU")</f>
        <v/>
      </c>
      <c r="C102" s="472">
        <f>IF(D93="","-",+C101+1)</f>
        <v>2013</v>
      </c>
      <c r="D102" s="578">
        <v>21884.5</v>
      </c>
      <c r="E102" s="579">
        <v>425</v>
      </c>
      <c r="F102" s="580">
        <v>21459.5</v>
      </c>
      <c r="G102" s="580">
        <v>21672</v>
      </c>
      <c r="H102" s="582">
        <v>3544.458879858515</v>
      </c>
      <c r="I102" s="583">
        <v>3544.458879858515</v>
      </c>
      <c r="J102" s="478">
        <v>0</v>
      </c>
      <c r="K102" s="478"/>
      <c r="L102" s="540">
        <f t="shared" si="25"/>
        <v>3544.458879858515</v>
      </c>
      <c r="M102" s="541">
        <f t="shared" si="26"/>
        <v>0</v>
      </c>
      <c r="N102" s="540">
        <f t="shared" si="27"/>
        <v>3544.458879858515</v>
      </c>
      <c r="O102" s="478">
        <f t="shared" si="28"/>
        <v>0</v>
      </c>
      <c r="P102" s="478">
        <f t="shared" si="29"/>
        <v>0</v>
      </c>
    </row>
    <row r="103" spans="1:16">
      <c r="B103" s="160" t="str">
        <f t="shared" si="30"/>
        <v/>
      </c>
      <c r="C103" s="472">
        <f>IF(D93="","-",+C102+1)</f>
        <v>2014</v>
      </c>
      <c r="D103" s="578">
        <v>21459.5</v>
      </c>
      <c r="E103" s="579">
        <v>425</v>
      </c>
      <c r="F103" s="580">
        <v>21034.5</v>
      </c>
      <c r="G103" s="580">
        <v>21247</v>
      </c>
      <c r="H103" s="582">
        <v>3412.2413474199548</v>
      </c>
      <c r="I103" s="583">
        <v>3412.2413474199548</v>
      </c>
      <c r="J103" s="478">
        <v>0</v>
      </c>
      <c r="K103" s="478"/>
      <c r="L103" s="540">
        <f t="shared" si="25"/>
        <v>3412.2413474199548</v>
      </c>
      <c r="M103" s="541">
        <f t="shared" si="26"/>
        <v>0</v>
      </c>
      <c r="N103" s="540">
        <f t="shared" si="27"/>
        <v>3412.2413474199548</v>
      </c>
      <c r="O103" s="478">
        <f t="shared" si="28"/>
        <v>0</v>
      </c>
      <c r="P103" s="478">
        <f t="shared" si="29"/>
        <v>0</v>
      </c>
    </row>
    <row r="104" spans="1:16">
      <c r="B104" s="160" t="str">
        <f t="shared" si="30"/>
        <v/>
      </c>
      <c r="C104" s="472">
        <f>IF(D93="","-",+C103+1)</f>
        <v>2015</v>
      </c>
      <c r="D104" s="578">
        <v>21034.5</v>
      </c>
      <c r="E104" s="579">
        <v>425</v>
      </c>
      <c r="F104" s="580">
        <v>20609.5</v>
      </c>
      <c r="G104" s="580">
        <v>20822</v>
      </c>
      <c r="H104" s="582">
        <v>3265.9944828697971</v>
      </c>
      <c r="I104" s="583">
        <v>3265.9944828697971</v>
      </c>
      <c r="J104" s="478">
        <f t="shared" ref="J104:J132" si="31">+I104-H104</f>
        <v>0</v>
      </c>
      <c r="K104" s="478"/>
      <c r="L104" s="540">
        <f t="shared" si="25"/>
        <v>3265.9944828697971</v>
      </c>
      <c r="M104" s="541">
        <f t="shared" si="26"/>
        <v>0</v>
      </c>
      <c r="N104" s="540">
        <f t="shared" si="27"/>
        <v>3265.9944828697971</v>
      </c>
      <c r="O104" s="478">
        <f t="shared" si="28"/>
        <v>0</v>
      </c>
      <c r="P104" s="478">
        <f t="shared" si="29"/>
        <v>0</v>
      </c>
    </row>
    <row r="105" spans="1:16">
      <c r="B105" s="160" t="str">
        <f t="shared" si="30"/>
        <v/>
      </c>
      <c r="C105" s="472">
        <f>IF(D93="","-",+C104+1)</f>
        <v>2016</v>
      </c>
      <c r="D105" s="578">
        <v>20609.5</v>
      </c>
      <c r="E105" s="579">
        <v>480</v>
      </c>
      <c r="F105" s="580">
        <v>20129.5</v>
      </c>
      <c r="G105" s="580">
        <v>20369.5</v>
      </c>
      <c r="H105" s="582">
        <v>3105.9493466960757</v>
      </c>
      <c r="I105" s="583">
        <v>3105.9493466960757</v>
      </c>
      <c r="J105" s="478">
        <f t="shared" si="31"/>
        <v>0</v>
      </c>
      <c r="K105" s="478"/>
      <c r="L105" s="540">
        <f>H105</f>
        <v>3105.9493466960757</v>
      </c>
      <c r="M105" s="541">
        <f>IF(L105&lt;&gt;0,+H105-L105,0)</f>
        <v>0</v>
      </c>
      <c r="N105" s="540">
        <f>I105</f>
        <v>3105.9493466960757</v>
      </c>
      <c r="O105" s="478">
        <f t="shared" ref="O105:O110" si="32">IF(N105&lt;&gt;0,+I105-N105,0)</f>
        <v>0</v>
      </c>
      <c r="P105" s="478">
        <f>+O105-M105</f>
        <v>0</v>
      </c>
    </row>
    <row r="106" spans="1:16">
      <c r="B106" s="160" t="str">
        <f t="shared" si="30"/>
        <v/>
      </c>
      <c r="C106" s="472">
        <f>IF(D93="","-",+C105+1)</f>
        <v>2017</v>
      </c>
      <c r="D106" s="578">
        <v>20129.5</v>
      </c>
      <c r="E106" s="579">
        <v>480</v>
      </c>
      <c r="F106" s="580">
        <v>19649.5</v>
      </c>
      <c r="G106" s="580">
        <v>19889.5</v>
      </c>
      <c r="H106" s="582">
        <v>3003.0332263920673</v>
      </c>
      <c r="I106" s="583">
        <v>3003.0332263920673</v>
      </c>
      <c r="J106" s="478">
        <f t="shared" si="31"/>
        <v>0</v>
      </c>
      <c r="K106" s="478"/>
      <c r="L106" s="540">
        <f>H106</f>
        <v>3003.0332263920673</v>
      </c>
      <c r="M106" s="541">
        <f>IF(L106&lt;&gt;0,+H106-L106,0)</f>
        <v>0</v>
      </c>
      <c r="N106" s="540">
        <f>I106</f>
        <v>3003.0332263920673</v>
      </c>
      <c r="O106" s="478">
        <f t="shared" si="32"/>
        <v>0</v>
      </c>
      <c r="P106" s="478">
        <f>+O106-M106</f>
        <v>0</v>
      </c>
    </row>
    <row r="107" spans="1:16">
      <c r="B107" s="160" t="str">
        <f t="shared" si="30"/>
        <v/>
      </c>
      <c r="C107" s="472">
        <f>IF(D93="","-",+C106+1)</f>
        <v>2018</v>
      </c>
      <c r="D107" s="578">
        <v>19649.5</v>
      </c>
      <c r="E107" s="579">
        <v>514</v>
      </c>
      <c r="F107" s="580">
        <v>19135.5</v>
      </c>
      <c r="G107" s="580">
        <v>19392.5</v>
      </c>
      <c r="H107" s="582">
        <v>2506.299479691007</v>
      </c>
      <c r="I107" s="583">
        <v>2506.299479691007</v>
      </c>
      <c r="J107" s="478">
        <f t="shared" si="31"/>
        <v>0</v>
      </c>
      <c r="K107" s="478"/>
      <c r="L107" s="540">
        <f>H107</f>
        <v>2506.299479691007</v>
      </c>
      <c r="M107" s="541">
        <f>IF(L107&lt;&gt;0,+H107-L107,0)</f>
        <v>0</v>
      </c>
      <c r="N107" s="540">
        <f>I107</f>
        <v>2506.299479691007</v>
      </c>
      <c r="O107" s="478">
        <f t="shared" si="32"/>
        <v>0</v>
      </c>
      <c r="P107" s="478">
        <f>+O107-M107</f>
        <v>0</v>
      </c>
    </row>
    <row r="108" spans="1:16">
      <c r="B108" s="160" t="str">
        <f t="shared" si="30"/>
        <v/>
      </c>
      <c r="C108" s="472">
        <f>IF(D93="","-",+C107+1)</f>
        <v>2019</v>
      </c>
      <c r="D108" s="578">
        <v>19135.5</v>
      </c>
      <c r="E108" s="579">
        <v>539</v>
      </c>
      <c r="F108" s="580">
        <v>18596.5</v>
      </c>
      <c r="G108" s="580">
        <v>18866</v>
      </c>
      <c r="H108" s="582">
        <v>2484.3492160371716</v>
      </c>
      <c r="I108" s="583">
        <v>2484.3492160371716</v>
      </c>
      <c r="J108" s="478">
        <f t="shared" si="31"/>
        <v>0</v>
      </c>
      <c r="K108" s="478"/>
      <c r="L108" s="540">
        <f>H108</f>
        <v>2484.3492160371716</v>
      </c>
      <c r="M108" s="541">
        <f>IF(L108&lt;&gt;0,+H108-L108,0)</f>
        <v>0</v>
      </c>
      <c r="N108" s="540">
        <f>I108</f>
        <v>2484.3492160371716</v>
      </c>
      <c r="O108" s="478">
        <f t="shared" si="32"/>
        <v>0</v>
      </c>
      <c r="P108" s="478">
        <f t="shared" ref="P108:P130" si="33">+O108-M108</f>
        <v>0</v>
      </c>
    </row>
    <row r="109" spans="1:16">
      <c r="B109" s="160" t="str">
        <f t="shared" si="30"/>
        <v/>
      </c>
      <c r="C109" s="472">
        <f>IF(D93="","-",+C108+1)</f>
        <v>2020</v>
      </c>
      <c r="D109" s="578">
        <v>18596.5</v>
      </c>
      <c r="E109" s="579">
        <v>514</v>
      </c>
      <c r="F109" s="580">
        <v>18082.5</v>
      </c>
      <c r="G109" s="580">
        <v>18339.5</v>
      </c>
      <c r="H109" s="582">
        <v>2628.4939297021565</v>
      </c>
      <c r="I109" s="583">
        <v>2628.4939297021565</v>
      </c>
      <c r="J109" s="478">
        <f t="shared" si="31"/>
        <v>0</v>
      </c>
      <c r="K109" s="478"/>
      <c r="L109" s="540">
        <f>H109</f>
        <v>2628.4939297021565</v>
      </c>
      <c r="M109" s="541">
        <f>IF(L109&lt;&gt;0,+H109-L109,0)</f>
        <v>0</v>
      </c>
      <c r="N109" s="540">
        <f>I109</f>
        <v>2628.4939297021565</v>
      </c>
      <c r="O109" s="478">
        <f t="shared" si="32"/>
        <v>0</v>
      </c>
      <c r="P109" s="478">
        <f t="shared" si="33"/>
        <v>0</v>
      </c>
    </row>
    <row r="110" spans="1:16">
      <c r="B110" s="160" t="str">
        <f t="shared" si="30"/>
        <v/>
      </c>
      <c r="C110" s="472">
        <f>IF(D93="","-",+C109+1)</f>
        <v>2021</v>
      </c>
      <c r="D110" s="347">
        <f>IF(F109+SUM(E$101:E109)=D$92,F109,D$92-SUM(E$101:E109))</f>
        <v>18082.5</v>
      </c>
      <c r="E110" s="486">
        <f>IF(+J96&lt;F109,J96,D110)</f>
        <v>539</v>
      </c>
      <c r="F110" s="485">
        <f t="shared" ref="F110:F133" si="34">+D110-E110</f>
        <v>17543.5</v>
      </c>
      <c r="G110" s="485">
        <f t="shared" ref="G110:G132" si="35">+(F110+D110)/2</f>
        <v>17813</v>
      </c>
      <c r="H110" s="486">
        <f t="shared" ref="H110:H153" si="36">(D110+F110)/2*J$94+E110</f>
        <v>2565.9910222694648</v>
      </c>
      <c r="I110" s="542">
        <f t="shared" ref="I110:I153" si="37">+J$95*G110+E110</f>
        <v>2565.9910222694648</v>
      </c>
      <c r="J110" s="478">
        <f t="shared" si="31"/>
        <v>0</v>
      </c>
      <c r="K110" s="478"/>
      <c r="L110" s="487"/>
      <c r="M110" s="478">
        <f t="shared" ref="M110:M130" si="38">IF(L110&lt;&gt;0,+H112-L110,0)</f>
        <v>0</v>
      </c>
      <c r="N110" s="487"/>
      <c r="O110" s="478">
        <f t="shared" si="32"/>
        <v>0</v>
      </c>
      <c r="P110" s="478">
        <f t="shared" si="33"/>
        <v>0</v>
      </c>
    </row>
    <row r="111" spans="1:16">
      <c r="B111" s="160" t="str">
        <f t="shared" si="30"/>
        <v/>
      </c>
      <c r="C111" s="472">
        <f>IF(D93="","-",+C110+1)</f>
        <v>2022</v>
      </c>
      <c r="D111" s="347">
        <f>IF(F110+SUM(E$101:E110)=D$92,F110,D$92-SUM(E$101:E110))</f>
        <v>17543.5</v>
      </c>
      <c r="E111" s="486">
        <f>IF(+J96&lt;F110,J96,D111)</f>
        <v>539</v>
      </c>
      <c r="F111" s="485">
        <f t="shared" si="34"/>
        <v>17004.5</v>
      </c>
      <c r="G111" s="485">
        <f t="shared" si="35"/>
        <v>17274</v>
      </c>
      <c r="H111" s="486">
        <f t="shared" si="36"/>
        <v>2504.6567068255058</v>
      </c>
      <c r="I111" s="542">
        <f t="shared" si="37"/>
        <v>2504.6567068255058</v>
      </c>
      <c r="J111" s="478">
        <f t="shared" si="31"/>
        <v>0</v>
      </c>
      <c r="K111" s="478"/>
      <c r="L111" s="487"/>
      <c r="M111" s="478">
        <f t="shared" si="38"/>
        <v>0</v>
      </c>
      <c r="N111" s="487"/>
      <c r="O111" s="478">
        <f t="shared" ref="O111:O154" si="39">IF(N111&lt;&gt;0,+I111-N111,0)</f>
        <v>0</v>
      </c>
      <c r="P111" s="478">
        <f t="shared" si="33"/>
        <v>0</v>
      </c>
    </row>
    <row r="112" spans="1:16">
      <c r="B112" s="160" t="str">
        <f t="shared" si="30"/>
        <v/>
      </c>
      <c r="C112" s="472">
        <f>IF(D93="","-",+C111+1)</f>
        <v>2023</v>
      </c>
      <c r="D112" s="347">
        <f>IF(F111+SUM(E$101:E111)=D$92,F111,D$92-SUM(E$101:E111))</f>
        <v>17004.5</v>
      </c>
      <c r="E112" s="486">
        <f>IF(+J96&lt;F111,J96,D112)</f>
        <v>539</v>
      </c>
      <c r="F112" s="485">
        <f t="shared" si="34"/>
        <v>16465.5</v>
      </c>
      <c r="G112" s="485">
        <f t="shared" si="35"/>
        <v>16735</v>
      </c>
      <c r="H112" s="486">
        <f t="shared" si="36"/>
        <v>2443.3223913815468</v>
      </c>
      <c r="I112" s="542">
        <f t="shared" si="37"/>
        <v>2443.3223913815468</v>
      </c>
      <c r="J112" s="478">
        <f t="shared" si="31"/>
        <v>0</v>
      </c>
      <c r="K112" s="478"/>
      <c r="L112" s="487"/>
      <c r="M112" s="478">
        <f t="shared" si="38"/>
        <v>0</v>
      </c>
      <c r="N112" s="487"/>
      <c r="O112" s="478">
        <f t="shared" si="39"/>
        <v>0</v>
      </c>
      <c r="P112" s="478">
        <f t="shared" si="33"/>
        <v>0</v>
      </c>
    </row>
    <row r="113" spans="2:16">
      <c r="B113" s="160" t="str">
        <f t="shared" si="30"/>
        <v/>
      </c>
      <c r="C113" s="472">
        <f>IF(D93="","-",+C112+1)</f>
        <v>2024</v>
      </c>
      <c r="D113" s="347">
        <f>IF(F112+SUM(E$101:E112)=D$92,F112,D$92-SUM(E$101:E112))</f>
        <v>16465.5</v>
      </c>
      <c r="E113" s="486">
        <f>IF(+J96&lt;F112,J96,D113)</f>
        <v>539</v>
      </c>
      <c r="F113" s="485">
        <f t="shared" si="34"/>
        <v>15926.5</v>
      </c>
      <c r="G113" s="485">
        <f t="shared" si="35"/>
        <v>16196</v>
      </c>
      <c r="H113" s="486">
        <f t="shared" si="36"/>
        <v>2381.9880759375878</v>
      </c>
      <c r="I113" s="542">
        <f t="shared" si="37"/>
        <v>2381.9880759375878</v>
      </c>
      <c r="J113" s="478">
        <f t="shared" si="31"/>
        <v>0</v>
      </c>
      <c r="K113" s="478"/>
      <c r="L113" s="487"/>
      <c r="M113" s="478">
        <f t="shared" si="38"/>
        <v>0</v>
      </c>
      <c r="N113" s="487"/>
      <c r="O113" s="478">
        <f t="shared" si="39"/>
        <v>0</v>
      </c>
      <c r="P113" s="478">
        <f t="shared" si="33"/>
        <v>0</v>
      </c>
    </row>
    <row r="114" spans="2:16">
      <c r="B114" s="160" t="str">
        <f t="shared" si="30"/>
        <v/>
      </c>
      <c r="C114" s="472">
        <f>IF(D93="","-",+C113+1)</f>
        <v>2025</v>
      </c>
      <c r="D114" s="347">
        <f>IF(F113+SUM(E$101:E113)=D$92,F113,D$92-SUM(E$101:E113))</f>
        <v>15926.5</v>
      </c>
      <c r="E114" s="486">
        <f>IF(+J96&lt;F113,J96,D114)</f>
        <v>539</v>
      </c>
      <c r="F114" s="485">
        <f t="shared" si="34"/>
        <v>15387.5</v>
      </c>
      <c r="G114" s="485">
        <f t="shared" si="35"/>
        <v>15657</v>
      </c>
      <c r="H114" s="486">
        <f t="shared" si="36"/>
        <v>2320.6537604936289</v>
      </c>
      <c r="I114" s="542">
        <f t="shared" si="37"/>
        <v>2320.6537604936289</v>
      </c>
      <c r="J114" s="478">
        <f t="shared" si="31"/>
        <v>0</v>
      </c>
      <c r="K114" s="478"/>
      <c r="L114" s="487"/>
      <c r="M114" s="478">
        <f t="shared" si="38"/>
        <v>0</v>
      </c>
      <c r="N114" s="487"/>
      <c r="O114" s="478">
        <f t="shared" si="39"/>
        <v>0</v>
      </c>
      <c r="P114" s="478">
        <f t="shared" si="33"/>
        <v>0</v>
      </c>
    </row>
    <row r="115" spans="2:16">
      <c r="B115" s="160" t="str">
        <f t="shared" si="30"/>
        <v/>
      </c>
      <c r="C115" s="472">
        <f>IF(D93="","-",+C114+1)</f>
        <v>2026</v>
      </c>
      <c r="D115" s="347">
        <f>IF(F114+SUM(E$101:E114)=D$92,F114,D$92-SUM(E$101:E114))</f>
        <v>15387.5</v>
      </c>
      <c r="E115" s="486">
        <f>IF(+J96&lt;F114,J96,D115)</f>
        <v>539</v>
      </c>
      <c r="F115" s="485">
        <f t="shared" si="34"/>
        <v>14848.5</v>
      </c>
      <c r="G115" s="485">
        <f t="shared" si="35"/>
        <v>15118</v>
      </c>
      <c r="H115" s="486">
        <f t="shared" si="36"/>
        <v>2259.3194450496699</v>
      </c>
      <c r="I115" s="542">
        <f t="shared" si="37"/>
        <v>2259.3194450496699</v>
      </c>
      <c r="J115" s="478">
        <f t="shared" si="31"/>
        <v>0</v>
      </c>
      <c r="K115" s="478"/>
      <c r="L115" s="487"/>
      <c r="M115" s="478">
        <f t="shared" si="38"/>
        <v>0</v>
      </c>
      <c r="N115" s="487"/>
      <c r="O115" s="478">
        <f t="shared" si="39"/>
        <v>0</v>
      </c>
      <c r="P115" s="478">
        <f t="shared" si="33"/>
        <v>0</v>
      </c>
    </row>
    <row r="116" spans="2:16">
      <c r="B116" s="160" t="str">
        <f t="shared" si="30"/>
        <v/>
      </c>
      <c r="C116" s="472">
        <f>IF(D93="","-",+C115+1)</f>
        <v>2027</v>
      </c>
      <c r="D116" s="347">
        <f>IF(F115+SUM(E$101:E115)=D$92,F115,D$92-SUM(E$101:E115))</f>
        <v>14848.5</v>
      </c>
      <c r="E116" s="486">
        <f>IF(+J96&lt;F115,J96,D116)</f>
        <v>539</v>
      </c>
      <c r="F116" s="485">
        <f t="shared" si="34"/>
        <v>14309.5</v>
      </c>
      <c r="G116" s="485">
        <f t="shared" si="35"/>
        <v>14579</v>
      </c>
      <c r="H116" s="486">
        <f t="shared" si="36"/>
        <v>2197.9851296057109</v>
      </c>
      <c r="I116" s="542">
        <f t="shared" si="37"/>
        <v>2197.9851296057109</v>
      </c>
      <c r="J116" s="478">
        <f t="shared" si="31"/>
        <v>0</v>
      </c>
      <c r="K116" s="478"/>
      <c r="L116" s="487"/>
      <c r="M116" s="478">
        <f t="shared" si="38"/>
        <v>0</v>
      </c>
      <c r="N116" s="487"/>
      <c r="O116" s="478">
        <f t="shared" si="39"/>
        <v>0</v>
      </c>
      <c r="P116" s="478">
        <f t="shared" si="33"/>
        <v>0</v>
      </c>
    </row>
    <row r="117" spans="2:16">
      <c r="B117" s="160" t="str">
        <f t="shared" si="30"/>
        <v/>
      </c>
      <c r="C117" s="472">
        <f>IF(D93="","-",+C116+1)</f>
        <v>2028</v>
      </c>
      <c r="D117" s="347">
        <f>IF(F116+SUM(E$101:E116)=D$92,F116,D$92-SUM(E$101:E116))</f>
        <v>14309.5</v>
      </c>
      <c r="E117" s="486">
        <f>IF(+J96&lt;F116,J96,D117)</f>
        <v>539</v>
      </c>
      <c r="F117" s="485">
        <f t="shared" si="34"/>
        <v>13770.5</v>
      </c>
      <c r="G117" s="485">
        <f t="shared" si="35"/>
        <v>14040</v>
      </c>
      <c r="H117" s="486">
        <f t="shared" si="36"/>
        <v>2136.6508141617519</v>
      </c>
      <c r="I117" s="542">
        <f t="shared" si="37"/>
        <v>2136.6508141617519</v>
      </c>
      <c r="J117" s="478">
        <f t="shared" si="31"/>
        <v>0</v>
      </c>
      <c r="K117" s="478"/>
      <c r="L117" s="487"/>
      <c r="M117" s="478">
        <f t="shared" si="38"/>
        <v>0</v>
      </c>
      <c r="N117" s="487"/>
      <c r="O117" s="478">
        <f t="shared" si="39"/>
        <v>0</v>
      </c>
      <c r="P117" s="478">
        <f t="shared" si="33"/>
        <v>0</v>
      </c>
    </row>
    <row r="118" spans="2:16">
      <c r="B118" s="160" t="str">
        <f t="shared" si="30"/>
        <v/>
      </c>
      <c r="C118" s="472">
        <f>IF(D93="","-",+C117+1)</f>
        <v>2029</v>
      </c>
      <c r="D118" s="347">
        <f>IF(F117+SUM(E$101:E117)=D$92,F117,D$92-SUM(E$101:E117))</f>
        <v>13770.5</v>
      </c>
      <c r="E118" s="486">
        <f>IF(+J96&lt;F117,J96,D118)</f>
        <v>539</v>
      </c>
      <c r="F118" s="485">
        <f t="shared" si="34"/>
        <v>13231.5</v>
      </c>
      <c r="G118" s="485">
        <f t="shared" si="35"/>
        <v>13501</v>
      </c>
      <c r="H118" s="486">
        <f t="shared" si="36"/>
        <v>2075.3164987177929</v>
      </c>
      <c r="I118" s="542">
        <f t="shared" si="37"/>
        <v>2075.3164987177929</v>
      </c>
      <c r="J118" s="478">
        <f t="shared" si="31"/>
        <v>0</v>
      </c>
      <c r="K118" s="478"/>
      <c r="L118" s="487"/>
      <c r="M118" s="478">
        <f t="shared" si="38"/>
        <v>0</v>
      </c>
      <c r="N118" s="487"/>
      <c r="O118" s="478">
        <f t="shared" si="39"/>
        <v>0</v>
      </c>
      <c r="P118" s="478">
        <f t="shared" si="33"/>
        <v>0</v>
      </c>
    </row>
    <row r="119" spans="2:16">
      <c r="B119" s="160" t="str">
        <f t="shared" si="30"/>
        <v/>
      </c>
      <c r="C119" s="472">
        <f>IF(D93="","-",+C118+1)</f>
        <v>2030</v>
      </c>
      <c r="D119" s="347">
        <f>IF(F118+SUM(E$101:E118)=D$92,F118,D$92-SUM(E$101:E118))</f>
        <v>13231.5</v>
      </c>
      <c r="E119" s="486">
        <f t="shared" ref="E119:E154" si="40">IF(+J$96&lt;F118,J$96,D119)</f>
        <v>539</v>
      </c>
      <c r="F119" s="485">
        <f t="shared" si="34"/>
        <v>12692.5</v>
      </c>
      <c r="G119" s="485">
        <f t="shared" si="35"/>
        <v>12962</v>
      </c>
      <c r="H119" s="486">
        <f t="shared" si="36"/>
        <v>2013.9821832738339</v>
      </c>
      <c r="I119" s="542">
        <f t="shared" si="37"/>
        <v>2013.9821832738339</v>
      </c>
      <c r="J119" s="478">
        <f t="shared" si="31"/>
        <v>0</v>
      </c>
      <c r="K119" s="478"/>
      <c r="L119" s="487"/>
      <c r="M119" s="478">
        <f t="shared" si="38"/>
        <v>0</v>
      </c>
      <c r="N119" s="487"/>
      <c r="O119" s="478">
        <f t="shared" si="39"/>
        <v>0</v>
      </c>
      <c r="P119" s="478">
        <f t="shared" si="33"/>
        <v>0</v>
      </c>
    </row>
    <row r="120" spans="2:16">
      <c r="B120" s="160" t="str">
        <f t="shared" si="30"/>
        <v/>
      </c>
      <c r="C120" s="472">
        <f>IF(D93="","-",+C119+1)</f>
        <v>2031</v>
      </c>
      <c r="D120" s="347">
        <f>IF(F119+SUM(E$101:E119)=D$92,F119,D$92-SUM(E$101:E119))</f>
        <v>12692.5</v>
      </c>
      <c r="E120" s="486">
        <f t="shared" si="40"/>
        <v>539</v>
      </c>
      <c r="F120" s="485">
        <f t="shared" si="34"/>
        <v>12153.5</v>
      </c>
      <c r="G120" s="485">
        <f t="shared" si="35"/>
        <v>12423</v>
      </c>
      <c r="H120" s="486">
        <f t="shared" si="36"/>
        <v>1952.6478678298749</v>
      </c>
      <c r="I120" s="542">
        <f t="shared" si="37"/>
        <v>1952.6478678298749</v>
      </c>
      <c r="J120" s="478">
        <f t="shared" si="31"/>
        <v>0</v>
      </c>
      <c r="K120" s="478"/>
      <c r="L120" s="487"/>
      <c r="M120" s="478">
        <f t="shared" si="38"/>
        <v>0</v>
      </c>
      <c r="N120" s="487"/>
      <c r="O120" s="478">
        <f t="shared" si="39"/>
        <v>0</v>
      </c>
      <c r="P120" s="478">
        <f t="shared" si="33"/>
        <v>0</v>
      </c>
    </row>
    <row r="121" spans="2:16">
      <c r="B121" s="160" t="str">
        <f t="shared" si="30"/>
        <v/>
      </c>
      <c r="C121" s="472">
        <f>IF(D93="","-",+C120+1)</f>
        <v>2032</v>
      </c>
      <c r="D121" s="347">
        <f>IF(F120+SUM(E$101:E120)=D$92,F120,D$92-SUM(E$101:E120))</f>
        <v>12153.5</v>
      </c>
      <c r="E121" s="486">
        <f t="shared" si="40"/>
        <v>539</v>
      </c>
      <c r="F121" s="485">
        <f t="shared" si="34"/>
        <v>11614.5</v>
      </c>
      <c r="G121" s="485">
        <f t="shared" si="35"/>
        <v>11884</v>
      </c>
      <c r="H121" s="486">
        <f t="shared" si="36"/>
        <v>1891.313552385916</v>
      </c>
      <c r="I121" s="542">
        <f t="shared" si="37"/>
        <v>1891.313552385916</v>
      </c>
      <c r="J121" s="478">
        <f t="shared" si="31"/>
        <v>0</v>
      </c>
      <c r="K121" s="478"/>
      <c r="L121" s="487"/>
      <c r="M121" s="478">
        <f t="shared" si="38"/>
        <v>0</v>
      </c>
      <c r="N121" s="487"/>
      <c r="O121" s="478">
        <f t="shared" si="39"/>
        <v>0</v>
      </c>
      <c r="P121" s="478">
        <f t="shared" si="33"/>
        <v>0</v>
      </c>
    </row>
    <row r="122" spans="2:16">
      <c r="B122" s="160" t="str">
        <f t="shared" si="30"/>
        <v/>
      </c>
      <c r="C122" s="472">
        <f>IF(D93="","-",+C121+1)</f>
        <v>2033</v>
      </c>
      <c r="D122" s="347">
        <f>IF(F121+SUM(E$101:E121)=D$92,F121,D$92-SUM(E$101:E121))</f>
        <v>11614.5</v>
      </c>
      <c r="E122" s="486">
        <f t="shared" si="40"/>
        <v>539</v>
      </c>
      <c r="F122" s="485">
        <f t="shared" si="34"/>
        <v>11075.5</v>
      </c>
      <c r="G122" s="485">
        <f t="shared" si="35"/>
        <v>11345</v>
      </c>
      <c r="H122" s="486">
        <f t="shared" si="36"/>
        <v>1829.979236941957</v>
      </c>
      <c r="I122" s="542">
        <f t="shared" si="37"/>
        <v>1829.979236941957</v>
      </c>
      <c r="J122" s="478">
        <f t="shared" si="31"/>
        <v>0</v>
      </c>
      <c r="K122" s="478"/>
      <c r="L122" s="487"/>
      <c r="M122" s="478">
        <f t="shared" si="38"/>
        <v>0</v>
      </c>
      <c r="N122" s="487"/>
      <c r="O122" s="478">
        <f t="shared" si="39"/>
        <v>0</v>
      </c>
      <c r="P122" s="478">
        <f t="shared" si="33"/>
        <v>0</v>
      </c>
    </row>
    <row r="123" spans="2:16">
      <c r="B123" s="160" t="str">
        <f t="shared" si="30"/>
        <v/>
      </c>
      <c r="C123" s="472">
        <f>IF(D93="","-",+C122+1)</f>
        <v>2034</v>
      </c>
      <c r="D123" s="347">
        <f>IF(F122+SUM(E$101:E122)=D$92,F122,D$92-SUM(E$101:E122))</f>
        <v>11075.5</v>
      </c>
      <c r="E123" s="486">
        <f t="shared" si="40"/>
        <v>539</v>
      </c>
      <c r="F123" s="485">
        <f t="shared" si="34"/>
        <v>10536.5</v>
      </c>
      <c r="G123" s="485">
        <f t="shared" si="35"/>
        <v>10806</v>
      </c>
      <c r="H123" s="486">
        <f t="shared" si="36"/>
        <v>1768.644921497998</v>
      </c>
      <c r="I123" s="542">
        <f t="shared" si="37"/>
        <v>1768.644921497998</v>
      </c>
      <c r="J123" s="478">
        <f t="shared" si="31"/>
        <v>0</v>
      </c>
      <c r="K123" s="478"/>
      <c r="L123" s="487"/>
      <c r="M123" s="478">
        <f t="shared" si="38"/>
        <v>0</v>
      </c>
      <c r="N123" s="487"/>
      <c r="O123" s="478">
        <f t="shared" si="39"/>
        <v>0</v>
      </c>
      <c r="P123" s="478">
        <f t="shared" si="33"/>
        <v>0</v>
      </c>
    </row>
    <row r="124" spans="2:16">
      <c r="B124" s="160" t="str">
        <f t="shared" si="30"/>
        <v/>
      </c>
      <c r="C124" s="472">
        <f>IF(D93="","-",+C123+1)</f>
        <v>2035</v>
      </c>
      <c r="D124" s="347">
        <f>IF(F123+SUM(E$101:E123)=D$92,F123,D$92-SUM(E$101:E123))</f>
        <v>10536.5</v>
      </c>
      <c r="E124" s="486">
        <f t="shared" si="40"/>
        <v>539</v>
      </c>
      <c r="F124" s="485">
        <f t="shared" si="34"/>
        <v>9997.5</v>
      </c>
      <c r="G124" s="485">
        <f t="shared" si="35"/>
        <v>10267</v>
      </c>
      <c r="H124" s="486">
        <f t="shared" si="36"/>
        <v>1707.310606054039</v>
      </c>
      <c r="I124" s="542">
        <f t="shared" si="37"/>
        <v>1707.310606054039</v>
      </c>
      <c r="J124" s="478">
        <f t="shared" si="31"/>
        <v>0</v>
      </c>
      <c r="K124" s="478"/>
      <c r="L124" s="487"/>
      <c r="M124" s="478">
        <f t="shared" si="38"/>
        <v>0</v>
      </c>
      <c r="N124" s="487"/>
      <c r="O124" s="478">
        <f t="shared" si="39"/>
        <v>0</v>
      </c>
      <c r="P124" s="478">
        <f t="shared" si="33"/>
        <v>0</v>
      </c>
    </row>
    <row r="125" spans="2:16">
      <c r="B125" s="160" t="str">
        <f t="shared" si="30"/>
        <v/>
      </c>
      <c r="C125" s="472">
        <f>IF(D93="","-",+C124+1)</f>
        <v>2036</v>
      </c>
      <c r="D125" s="347">
        <f>IF(F124+SUM(E$101:E124)=D$92,F124,D$92-SUM(E$101:E124))</f>
        <v>9997.5</v>
      </c>
      <c r="E125" s="486">
        <f t="shared" si="40"/>
        <v>539</v>
      </c>
      <c r="F125" s="485">
        <f t="shared" si="34"/>
        <v>9458.5</v>
      </c>
      <c r="G125" s="485">
        <f t="shared" si="35"/>
        <v>9728</v>
      </c>
      <c r="H125" s="486">
        <f t="shared" si="36"/>
        <v>1645.97629061008</v>
      </c>
      <c r="I125" s="542">
        <f t="shared" si="37"/>
        <v>1645.97629061008</v>
      </c>
      <c r="J125" s="478">
        <f t="shared" si="31"/>
        <v>0</v>
      </c>
      <c r="K125" s="478"/>
      <c r="L125" s="487"/>
      <c r="M125" s="478">
        <f t="shared" si="38"/>
        <v>0</v>
      </c>
      <c r="N125" s="487"/>
      <c r="O125" s="478">
        <f t="shared" si="39"/>
        <v>0</v>
      </c>
      <c r="P125" s="478">
        <f t="shared" si="33"/>
        <v>0</v>
      </c>
    </row>
    <row r="126" spans="2:16">
      <c r="B126" s="160" t="str">
        <f t="shared" si="30"/>
        <v/>
      </c>
      <c r="C126" s="472">
        <f>IF(D93="","-",+C125+1)</f>
        <v>2037</v>
      </c>
      <c r="D126" s="347">
        <f>IF(F125+SUM(E$101:E125)=D$92,F125,D$92-SUM(E$101:E125))</f>
        <v>9458.5</v>
      </c>
      <c r="E126" s="486">
        <f t="shared" si="40"/>
        <v>539</v>
      </c>
      <c r="F126" s="485">
        <f t="shared" si="34"/>
        <v>8919.5</v>
      </c>
      <c r="G126" s="485">
        <f t="shared" si="35"/>
        <v>9189</v>
      </c>
      <c r="H126" s="486">
        <f t="shared" si="36"/>
        <v>1584.641975166121</v>
      </c>
      <c r="I126" s="542">
        <f t="shared" si="37"/>
        <v>1584.641975166121</v>
      </c>
      <c r="J126" s="478">
        <f t="shared" si="31"/>
        <v>0</v>
      </c>
      <c r="K126" s="478"/>
      <c r="L126" s="487"/>
      <c r="M126" s="478">
        <f t="shared" si="38"/>
        <v>0</v>
      </c>
      <c r="N126" s="487"/>
      <c r="O126" s="478">
        <f t="shared" si="39"/>
        <v>0</v>
      </c>
      <c r="P126" s="478">
        <f t="shared" si="33"/>
        <v>0</v>
      </c>
    </row>
    <row r="127" spans="2:16">
      <c r="B127" s="160" t="str">
        <f t="shared" si="30"/>
        <v/>
      </c>
      <c r="C127" s="472">
        <f>IF(D93="","-",+C126+1)</f>
        <v>2038</v>
      </c>
      <c r="D127" s="347">
        <f>IF(F126+SUM(E$101:E126)=D$92,F126,D$92-SUM(E$101:E126))</f>
        <v>8919.5</v>
      </c>
      <c r="E127" s="486">
        <f t="shared" si="40"/>
        <v>539</v>
      </c>
      <c r="F127" s="485">
        <f t="shared" si="34"/>
        <v>8380.5</v>
      </c>
      <c r="G127" s="485">
        <f t="shared" si="35"/>
        <v>8650</v>
      </c>
      <c r="H127" s="486">
        <f t="shared" si="36"/>
        <v>1523.307659722162</v>
      </c>
      <c r="I127" s="542">
        <f t="shared" si="37"/>
        <v>1523.307659722162</v>
      </c>
      <c r="J127" s="478">
        <f t="shared" si="31"/>
        <v>0</v>
      </c>
      <c r="K127" s="478"/>
      <c r="L127" s="487"/>
      <c r="M127" s="478">
        <f t="shared" si="38"/>
        <v>0</v>
      </c>
      <c r="N127" s="487"/>
      <c r="O127" s="478">
        <f t="shared" si="39"/>
        <v>0</v>
      </c>
      <c r="P127" s="478">
        <f t="shared" si="33"/>
        <v>0</v>
      </c>
    </row>
    <row r="128" spans="2:16">
      <c r="B128" s="160" t="str">
        <f t="shared" si="30"/>
        <v/>
      </c>
      <c r="C128" s="472">
        <f>IF(D93="","-",+C127+1)</f>
        <v>2039</v>
      </c>
      <c r="D128" s="347">
        <f>IF(F127+SUM(E$101:E127)=D$92,F127,D$92-SUM(E$101:E127))</f>
        <v>8380.5</v>
      </c>
      <c r="E128" s="486">
        <f t="shared" si="40"/>
        <v>539</v>
      </c>
      <c r="F128" s="485">
        <f t="shared" si="34"/>
        <v>7841.5</v>
      </c>
      <c r="G128" s="485">
        <f t="shared" si="35"/>
        <v>8111</v>
      </c>
      <c r="H128" s="486">
        <f t="shared" si="36"/>
        <v>1461.9733442782031</v>
      </c>
      <c r="I128" s="542">
        <f t="shared" si="37"/>
        <v>1461.9733442782031</v>
      </c>
      <c r="J128" s="478">
        <f t="shared" si="31"/>
        <v>0</v>
      </c>
      <c r="K128" s="478"/>
      <c r="L128" s="487"/>
      <c r="M128" s="478">
        <f t="shared" si="38"/>
        <v>0</v>
      </c>
      <c r="N128" s="487"/>
      <c r="O128" s="478">
        <f t="shared" si="39"/>
        <v>0</v>
      </c>
      <c r="P128" s="478">
        <f t="shared" si="33"/>
        <v>0</v>
      </c>
    </row>
    <row r="129" spans="2:16">
      <c r="B129" s="160" t="str">
        <f t="shared" si="30"/>
        <v/>
      </c>
      <c r="C129" s="472">
        <f>IF(D93="","-",+C128+1)</f>
        <v>2040</v>
      </c>
      <c r="D129" s="347">
        <f>IF(F128+SUM(E$101:E128)=D$92,F128,D$92-SUM(E$101:E128))</f>
        <v>7841.5</v>
      </c>
      <c r="E129" s="486">
        <f t="shared" si="40"/>
        <v>539</v>
      </c>
      <c r="F129" s="485">
        <f t="shared" si="34"/>
        <v>7302.5</v>
      </c>
      <c r="G129" s="485">
        <f t="shared" si="35"/>
        <v>7572</v>
      </c>
      <c r="H129" s="486">
        <f t="shared" si="36"/>
        <v>1400.6390288342441</v>
      </c>
      <c r="I129" s="542">
        <f t="shared" si="37"/>
        <v>1400.6390288342441</v>
      </c>
      <c r="J129" s="478">
        <f t="shared" si="31"/>
        <v>0</v>
      </c>
      <c r="K129" s="478"/>
      <c r="L129" s="487"/>
      <c r="M129" s="478">
        <f t="shared" si="38"/>
        <v>0</v>
      </c>
      <c r="N129" s="487"/>
      <c r="O129" s="478">
        <f t="shared" si="39"/>
        <v>0</v>
      </c>
      <c r="P129" s="478">
        <f t="shared" si="33"/>
        <v>0</v>
      </c>
    </row>
    <row r="130" spans="2:16">
      <c r="B130" s="160" t="str">
        <f t="shared" si="30"/>
        <v/>
      </c>
      <c r="C130" s="472">
        <f>IF(D93="","-",+C129+1)</f>
        <v>2041</v>
      </c>
      <c r="D130" s="347">
        <f>IF(F129+SUM(E$101:E129)=D$92,F129,D$92-SUM(E$101:E129))</f>
        <v>7302.5</v>
      </c>
      <c r="E130" s="486">
        <f t="shared" si="40"/>
        <v>539</v>
      </c>
      <c r="F130" s="485">
        <f t="shared" si="34"/>
        <v>6763.5</v>
      </c>
      <c r="G130" s="485">
        <f t="shared" si="35"/>
        <v>7033</v>
      </c>
      <c r="H130" s="486">
        <f t="shared" si="36"/>
        <v>1339.3047133902851</v>
      </c>
      <c r="I130" s="542">
        <f t="shared" si="37"/>
        <v>1339.3047133902851</v>
      </c>
      <c r="J130" s="478">
        <f t="shared" si="31"/>
        <v>0</v>
      </c>
      <c r="K130" s="478"/>
      <c r="L130" s="487"/>
      <c r="M130" s="478">
        <f t="shared" si="38"/>
        <v>0</v>
      </c>
      <c r="N130" s="487"/>
      <c r="O130" s="478">
        <f t="shared" si="39"/>
        <v>0</v>
      </c>
      <c r="P130" s="478">
        <f t="shared" si="33"/>
        <v>0</v>
      </c>
    </row>
    <row r="131" spans="2:16">
      <c r="B131" s="160" t="str">
        <f t="shared" si="30"/>
        <v/>
      </c>
      <c r="C131" s="472">
        <f>IF(D93="","-",+C130+1)</f>
        <v>2042</v>
      </c>
      <c r="D131" s="347">
        <f>IF(F130+SUM(E$101:E130)=D$92,F130,D$92-SUM(E$101:E130))</f>
        <v>6763.5</v>
      </c>
      <c r="E131" s="486">
        <f t="shared" si="40"/>
        <v>539</v>
      </c>
      <c r="F131" s="485">
        <f t="shared" si="34"/>
        <v>6224.5</v>
      </c>
      <c r="G131" s="485">
        <f t="shared" si="35"/>
        <v>6494</v>
      </c>
      <c r="H131" s="486">
        <f t="shared" si="36"/>
        <v>1277.9703979463261</v>
      </c>
      <c r="I131" s="542">
        <f t="shared" si="37"/>
        <v>1277.9703979463261</v>
      </c>
      <c r="J131" s="478">
        <f t="shared" si="31"/>
        <v>0</v>
      </c>
      <c r="K131" s="478"/>
      <c r="L131" s="487"/>
      <c r="M131" s="478">
        <f t="shared" ref="M131:M154" si="41">IF(L541&lt;&gt;0,+H541-L541,0)</f>
        <v>0</v>
      </c>
      <c r="N131" s="487"/>
      <c r="O131" s="478">
        <f t="shared" si="39"/>
        <v>0</v>
      </c>
      <c r="P131" s="478">
        <f t="shared" ref="P131:P154" si="42">+O541-M541</f>
        <v>0</v>
      </c>
    </row>
    <row r="132" spans="2:16">
      <c r="B132" s="160" t="str">
        <f t="shared" si="30"/>
        <v/>
      </c>
      <c r="C132" s="472">
        <f>IF(D93="","-",+C131+1)</f>
        <v>2043</v>
      </c>
      <c r="D132" s="347">
        <f>IF(F131+SUM(E$101:E131)=D$92,F131,D$92-SUM(E$101:E131))</f>
        <v>6224.5</v>
      </c>
      <c r="E132" s="486">
        <f t="shared" si="40"/>
        <v>539</v>
      </c>
      <c r="F132" s="485">
        <f t="shared" si="34"/>
        <v>5685.5</v>
      </c>
      <c r="G132" s="485">
        <f t="shared" si="35"/>
        <v>5955</v>
      </c>
      <c r="H132" s="486">
        <f t="shared" si="36"/>
        <v>1216.6360825023671</v>
      </c>
      <c r="I132" s="542">
        <f t="shared" si="37"/>
        <v>1216.6360825023671</v>
      </c>
      <c r="J132" s="478">
        <f t="shared" si="31"/>
        <v>0</v>
      </c>
      <c r="K132" s="478"/>
      <c r="L132" s="487"/>
      <c r="M132" s="478">
        <f t="shared" si="41"/>
        <v>0</v>
      </c>
      <c r="N132" s="487"/>
      <c r="O132" s="478">
        <f t="shared" si="39"/>
        <v>0</v>
      </c>
      <c r="P132" s="478">
        <f t="shared" si="42"/>
        <v>0</v>
      </c>
    </row>
    <row r="133" spans="2:16">
      <c r="B133" s="160" t="str">
        <f t="shared" si="30"/>
        <v/>
      </c>
      <c r="C133" s="472">
        <f>IF(D93="","-",+C132+1)</f>
        <v>2044</v>
      </c>
      <c r="D133" s="347">
        <f>IF(F132+SUM(E$101:E132)=D$92,F132,D$92-SUM(E$101:E132))</f>
        <v>5685.5</v>
      </c>
      <c r="E133" s="486">
        <f t="shared" si="40"/>
        <v>539</v>
      </c>
      <c r="F133" s="485">
        <f t="shared" si="34"/>
        <v>5146.5</v>
      </c>
      <c r="G133" s="485">
        <f t="shared" ref="G133:G154" si="43">+(F133+D133)/2</f>
        <v>5416</v>
      </c>
      <c r="H133" s="486">
        <f t="shared" si="36"/>
        <v>1155.3017670584081</v>
      </c>
      <c r="I133" s="542">
        <f t="shared" si="37"/>
        <v>1155.3017670584081</v>
      </c>
      <c r="J133" s="478">
        <f t="shared" ref="J133:J154" si="44">+I541-H541</f>
        <v>0</v>
      </c>
      <c r="K133" s="478"/>
      <c r="L133" s="487"/>
      <c r="M133" s="478">
        <f t="shared" si="41"/>
        <v>0</v>
      </c>
      <c r="N133" s="487"/>
      <c r="O133" s="478">
        <f t="shared" si="39"/>
        <v>0</v>
      </c>
      <c r="P133" s="478">
        <f t="shared" si="42"/>
        <v>0</v>
      </c>
    </row>
    <row r="134" spans="2:16">
      <c r="B134" s="160" t="str">
        <f t="shared" ref="B134:B154" si="45">IF(D134=F133,"","IU")</f>
        <v/>
      </c>
      <c r="C134" s="472">
        <f>IF(D93="","-",+C133+1)</f>
        <v>2045</v>
      </c>
      <c r="D134" s="347">
        <f>IF(F133+SUM(E$101:E133)=D$92,F133,D$92-SUM(E$101:E133))</f>
        <v>5146.5</v>
      </c>
      <c r="E134" s="486">
        <f t="shared" si="40"/>
        <v>539</v>
      </c>
      <c r="F134" s="485">
        <f t="shared" ref="F134:F154" si="46">+D134-E134</f>
        <v>4607.5</v>
      </c>
      <c r="G134" s="485">
        <f t="shared" si="43"/>
        <v>4877</v>
      </c>
      <c r="H134" s="486">
        <f t="shared" si="36"/>
        <v>1093.9674516144491</v>
      </c>
      <c r="I134" s="542">
        <f t="shared" si="37"/>
        <v>1093.9674516144491</v>
      </c>
      <c r="J134" s="478">
        <f t="shared" si="44"/>
        <v>0</v>
      </c>
      <c r="K134" s="478"/>
      <c r="L134" s="487"/>
      <c r="M134" s="478">
        <f t="shared" si="41"/>
        <v>0</v>
      </c>
      <c r="N134" s="487"/>
      <c r="O134" s="478">
        <f t="shared" si="39"/>
        <v>0</v>
      </c>
      <c r="P134" s="478">
        <f t="shared" si="42"/>
        <v>0</v>
      </c>
    </row>
    <row r="135" spans="2:16">
      <c r="B135" s="160" t="str">
        <f t="shared" si="45"/>
        <v/>
      </c>
      <c r="C135" s="472">
        <f>IF(D93="","-",+C134+1)</f>
        <v>2046</v>
      </c>
      <c r="D135" s="347">
        <f>IF(F134+SUM(E$101:E134)=D$92,F134,D$92-SUM(E$101:E134))</f>
        <v>4607.5</v>
      </c>
      <c r="E135" s="486">
        <f t="shared" si="40"/>
        <v>539</v>
      </c>
      <c r="F135" s="485">
        <f t="shared" si="46"/>
        <v>4068.5</v>
      </c>
      <c r="G135" s="485">
        <f t="shared" si="43"/>
        <v>4338</v>
      </c>
      <c r="H135" s="486">
        <f t="shared" si="36"/>
        <v>1032.6331361704899</v>
      </c>
      <c r="I135" s="542">
        <f t="shared" si="37"/>
        <v>1032.6331361704899</v>
      </c>
      <c r="J135" s="478">
        <f t="shared" si="44"/>
        <v>0</v>
      </c>
      <c r="K135" s="478"/>
      <c r="L135" s="487"/>
      <c r="M135" s="478">
        <f t="shared" si="41"/>
        <v>0</v>
      </c>
      <c r="N135" s="487"/>
      <c r="O135" s="478">
        <f t="shared" si="39"/>
        <v>0</v>
      </c>
      <c r="P135" s="478">
        <f t="shared" si="42"/>
        <v>0</v>
      </c>
    </row>
    <row r="136" spans="2:16">
      <c r="B136" s="160" t="str">
        <f t="shared" si="45"/>
        <v/>
      </c>
      <c r="C136" s="472">
        <f>IF(D93="","-",+C135+1)</f>
        <v>2047</v>
      </c>
      <c r="D136" s="347">
        <f>IF(F135+SUM(E$101:E135)=D$92,F135,D$92-SUM(E$101:E135))</f>
        <v>4068.5</v>
      </c>
      <c r="E136" s="486">
        <f t="shared" si="40"/>
        <v>539</v>
      </c>
      <c r="F136" s="485">
        <f t="shared" si="46"/>
        <v>3529.5</v>
      </c>
      <c r="G136" s="485">
        <f t="shared" si="43"/>
        <v>3799</v>
      </c>
      <c r="H136" s="486">
        <f t="shared" si="36"/>
        <v>971.29882072653095</v>
      </c>
      <c r="I136" s="542">
        <f t="shared" si="37"/>
        <v>971.29882072653095</v>
      </c>
      <c r="J136" s="478">
        <f t="shared" si="44"/>
        <v>0</v>
      </c>
      <c r="K136" s="478"/>
      <c r="L136" s="487"/>
      <c r="M136" s="478">
        <f t="shared" si="41"/>
        <v>0</v>
      </c>
      <c r="N136" s="487"/>
      <c r="O136" s="478">
        <f t="shared" si="39"/>
        <v>0</v>
      </c>
      <c r="P136" s="478">
        <f t="shared" si="42"/>
        <v>0</v>
      </c>
    </row>
    <row r="137" spans="2:16">
      <c r="B137" s="160" t="str">
        <f t="shared" si="45"/>
        <v/>
      </c>
      <c r="C137" s="472">
        <f>IF(D93="","-",+C136+1)</f>
        <v>2048</v>
      </c>
      <c r="D137" s="347">
        <f>IF(F136+SUM(E$101:E136)=D$92,F136,D$92-SUM(E$101:E136))</f>
        <v>3529.5</v>
      </c>
      <c r="E137" s="486">
        <f t="shared" si="40"/>
        <v>539</v>
      </c>
      <c r="F137" s="485">
        <f t="shared" si="46"/>
        <v>2990.5</v>
      </c>
      <c r="G137" s="485">
        <f t="shared" si="43"/>
        <v>3260</v>
      </c>
      <c r="H137" s="486">
        <f t="shared" si="36"/>
        <v>909.96450528257196</v>
      </c>
      <c r="I137" s="542">
        <f t="shared" si="37"/>
        <v>909.96450528257196</v>
      </c>
      <c r="J137" s="478">
        <f t="shared" si="44"/>
        <v>0</v>
      </c>
      <c r="K137" s="478"/>
      <c r="L137" s="487"/>
      <c r="M137" s="478">
        <f t="shared" si="41"/>
        <v>0</v>
      </c>
      <c r="N137" s="487"/>
      <c r="O137" s="478">
        <f t="shared" si="39"/>
        <v>0</v>
      </c>
      <c r="P137" s="478">
        <f t="shared" si="42"/>
        <v>0</v>
      </c>
    </row>
    <row r="138" spans="2:16">
      <c r="B138" s="160" t="str">
        <f t="shared" si="45"/>
        <v/>
      </c>
      <c r="C138" s="472">
        <f>IF(D93="","-",+C137+1)</f>
        <v>2049</v>
      </c>
      <c r="D138" s="347">
        <f>IF(F137+SUM(E$101:E137)=D$92,F137,D$92-SUM(E$101:E137))</f>
        <v>2990.5</v>
      </c>
      <c r="E138" s="486">
        <f t="shared" si="40"/>
        <v>539</v>
      </c>
      <c r="F138" s="485">
        <f t="shared" si="46"/>
        <v>2451.5</v>
      </c>
      <c r="G138" s="485">
        <f t="shared" si="43"/>
        <v>2721</v>
      </c>
      <c r="H138" s="486">
        <f t="shared" si="36"/>
        <v>848.63018983861298</v>
      </c>
      <c r="I138" s="542">
        <f t="shared" si="37"/>
        <v>848.63018983861298</v>
      </c>
      <c r="J138" s="478">
        <f t="shared" si="44"/>
        <v>0</v>
      </c>
      <c r="K138" s="478"/>
      <c r="L138" s="487"/>
      <c r="M138" s="478">
        <f t="shared" si="41"/>
        <v>0</v>
      </c>
      <c r="N138" s="487"/>
      <c r="O138" s="478">
        <f t="shared" si="39"/>
        <v>0</v>
      </c>
      <c r="P138" s="478">
        <f t="shared" si="42"/>
        <v>0</v>
      </c>
    </row>
    <row r="139" spans="2:16">
      <c r="B139" s="160" t="str">
        <f t="shared" si="45"/>
        <v/>
      </c>
      <c r="C139" s="472">
        <f>IF(D93="","-",+C138+1)</f>
        <v>2050</v>
      </c>
      <c r="D139" s="347">
        <f>IF(F138+SUM(E$101:E138)=D$92,F138,D$92-SUM(E$101:E138))</f>
        <v>2451.5</v>
      </c>
      <c r="E139" s="486">
        <f t="shared" si="40"/>
        <v>539</v>
      </c>
      <c r="F139" s="485">
        <f t="shared" si="46"/>
        <v>1912.5</v>
      </c>
      <c r="G139" s="485">
        <f t="shared" si="43"/>
        <v>2182</v>
      </c>
      <c r="H139" s="486">
        <f t="shared" si="36"/>
        <v>787.29587439465399</v>
      </c>
      <c r="I139" s="542">
        <f t="shared" si="37"/>
        <v>787.29587439465399</v>
      </c>
      <c r="J139" s="478">
        <f t="shared" si="44"/>
        <v>0</v>
      </c>
      <c r="K139" s="478"/>
      <c r="L139" s="487"/>
      <c r="M139" s="478">
        <f t="shared" si="41"/>
        <v>0</v>
      </c>
      <c r="N139" s="487"/>
      <c r="O139" s="478">
        <f t="shared" si="39"/>
        <v>0</v>
      </c>
      <c r="P139" s="478">
        <f t="shared" si="42"/>
        <v>0</v>
      </c>
    </row>
    <row r="140" spans="2:16">
      <c r="B140" s="160" t="str">
        <f t="shared" si="45"/>
        <v/>
      </c>
      <c r="C140" s="472">
        <f>IF(D93="","-",+C139+1)</f>
        <v>2051</v>
      </c>
      <c r="D140" s="347">
        <f>IF(F139+SUM(E$101:E139)=D$92,F139,D$92-SUM(E$101:E139))</f>
        <v>1912.5</v>
      </c>
      <c r="E140" s="486">
        <f t="shared" si="40"/>
        <v>539</v>
      </c>
      <c r="F140" s="485">
        <f t="shared" si="46"/>
        <v>1373.5</v>
      </c>
      <c r="G140" s="485">
        <f t="shared" si="43"/>
        <v>1643</v>
      </c>
      <c r="H140" s="486">
        <f t="shared" si="36"/>
        <v>725.96155895069501</v>
      </c>
      <c r="I140" s="542">
        <f t="shared" si="37"/>
        <v>725.96155895069501</v>
      </c>
      <c r="J140" s="478">
        <f t="shared" si="44"/>
        <v>0</v>
      </c>
      <c r="K140" s="478"/>
      <c r="L140" s="487"/>
      <c r="M140" s="478">
        <f t="shared" si="41"/>
        <v>0</v>
      </c>
      <c r="N140" s="487"/>
      <c r="O140" s="478">
        <f t="shared" si="39"/>
        <v>0</v>
      </c>
      <c r="P140" s="478">
        <f t="shared" si="42"/>
        <v>0</v>
      </c>
    </row>
    <row r="141" spans="2:16">
      <c r="B141" s="160" t="str">
        <f t="shared" si="45"/>
        <v/>
      </c>
      <c r="C141" s="472">
        <f>IF(D93="","-",+C140+1)</f>
        <v>2052</v>
      </c>
      <c r="D141" s="347">
        <f>IF(F140+SUM(E$101:E140)=D$92,F140,D$92-SUM(E$101:E140))</f>
        <v>1373.5</v>
      </c>
      <c r="E141" s="486">
        <f t="shared" si="40"/>
        <v>539</v>
      </c>
      <c r="F141" s="485">
        <f t="shared" si="46"/>
        <v>834.5</v>
      </c>
      <c r="G141" s="485">
        <f t="shared" si="43"/>
        <v>1104</v>
      </c>
      <c r="H141" s="486">
        <f t="shared" si="36"/>
        <v>664.62724350673602</v>
      </c>
      <c r="I141" s="542">
        <f t="shared" si="37"/>
        <v>664.62724350673602</v>
      </c>
      <c r="J141" s="478">
        <f t="shared" si="44"/>
        <v>0</v>
      </c>
      <c r="K141" s="478"/>
      <c r="L141" s="487"/>
      <c r="M141" s="478">
        <f t="shared" si="41"/>
        <v>0</v>
      </c>
      <c r="N141" s="487"/>
      <c r="O141" s="478">
        <f t="shared" si="39"/>
        <v>0</v>
      </c>
      <c r="P141" s="478">
        <f t="shared" si="42"/>
        <v>0</v>
      </c>
    </row>
    <row r="142" spans="2:16">
      <c r="B142" s="160" t="str">
        <f t="shared" si="45"/>
        <v/>
      </c>
      <c r="C142" s="472">
        <f>IF(D93="","-",+C141+1)</f>
        <v>2053</v>
      </c>
      <c r="D142" s="347">
        <f>IF(F141+SUM(E$101:E141)=D$92,F141,D$92-SUM(E$101:E141))</f>
        <v>834.5</v>
      </c>
      <c r="E142" s="486">
        <f t="shared" si="40"/>
        <v>539</v>
      </c>
      <c r="F142" s="485">
        <f t="shared" si="46"/>
        <v>295.5</v>
      </c>
      <c r="G142" s="485">
        <f t="shared" si="43"/>
        <v>565</v>
      </c>
      <c r="H142" s="486">
        <f t="shared" si="36"/>
        <v>603.29292806277704</v>
      </c>
      <c r="I142" s="542">
        <f t="shared" si="37"/>
        <v>603.29292806277704</v>
      </c>
      <c r="J142" s="478">
        <f t="shared" si="44"/>
        <v>0</v>
      </c>
      <c r="K142" s="478"/>
      <c r="L142" s="487"/>
      <c r="M142" s="478">
        <f t="shared" si="41"/>
        <v>0</v>
      </c>
      <c r="N142" s="487"/>
      <c r="O142" s="478">
        <f t="shared" si="39"/>
        <v>0</v>
      </c>
      <c r="P142" s="478">
        <f t="shared" si="42"/>
        <v>0</v>
      </c>
    </row>
    <row r="143" spans="2:16">
      <c r="B143" s="160" t="str">
        <f t="shared" si="45"/>
        <v/>
      </c>
      <c r="C143" s="472">
        <f>IF(D93="","-",+C142+1)</f>
        <v>2054</v>
      </c>
      <c r="D143" s="347">
        <f>IF(F142+SUM(E$101:E142)=D$92,F142,D$92-SUM(E$101:E142))</f>
        <v>295.5</v>
      </c>
      <c r="E143" s="486">
        <f t="shared" si="40"/>
        <v>295.5</v>
      </c>
      <c r="F143" s="485">
        <f t="shared" si="46"/>
        <v>0</v>
      </c>
      <c r="G143" s="485">
        <f t="shared" si="43"/>
        <v>147.75</v>
      </c>
      <c r="H143" s="486">
        <f t="shared" si="36"/>
        <v>312.31288517039877</v>
      </c>
      <c r="I143" s="542">
        <f t="shared" si="37"/>
        <v>312.31288517039877</v>
      </c>
      <c r="J143" s="478">
        <f t="shared" si="44"/>
        <v>0</v>
      </c>
      <c r="K143" s="478"/>
      <c r="L143" s="487"/>
      <c r="M143" s="478">
        <f t="shared" si="41"/>
        <v>0</v>
      </c>
      <c r="N143" s="487"/>
      <c r="O143" s="478">
        <f t="shared" si="39"/>
        <v>0</v>
      </c>
      <c r="P143" s="478">
        <f t="shared" si="42"/>
        <v>0</v>
      </c>
    </row>
    <row r="144" spans="2:16">
      <c r="B144" s="160" t="str">
        <f t="shared" si="45"/>
        <v/>
      </c>
      <c r="C144" s="472">
        <f>IF(D93="","-",+C143+1)</f>
        <v>2055</v>
      </c>
      <c r="D144" s="347">
        <f>IF(F143+SUM(E$101:E143)=D$92,F143,D$92-SUM(E$101:E143))</f>
        <v>0</v>
      </c>
      <c r="E144" s="486">
        <f t="shared" si="40"/>
        <v>0</v>
      </c>
      <c r="F144" s="485">
        <f t="shared" si="46"/>
        <v>0</v>
      </c>
      <c r="G144" s="485">
        <f t="shared" si="43"/>
        <v>0</v>
      </c>
      <c r="H144" s="486">
        <f t="shared" si="36"/>
        <v>0</v>
      </c>
      <c r="I144" s="542">
        <f t="shared" si="37"/>
        <v>0</v>
      </c>
      <c r="J144" s="478">
        <f t="shared" si="44"/>
        <v>0</v>
      </c>
      <c r="K144" s="478"/>
      <c r="L144" s="487"/>
      <c r="M144" s="478">
        <f t="shared" si="41"/>
        <v>0</v>
      </c>
      <c r="N144" s="487"/>
      <c r="O144" s="478">
        <f t="shared" si="39"/>
        <v>0</v>
      </c>
      <c r="P144" s="478">
        <f t="shared" si="42"/>
        <v>0</v>
      </c>
    </row>
    <row r="145" spans="2:16">
      <c r="B145" s="160" t="str">
        <f t="shared" si="45"/>
        <v/>
      </c>
      <c r="C145" s="472">
        <f>IF(D93="","-",+C144+1)</f>
        <v>2056</v>
      </c>
      <c r="D145" s="347">
        <f>IF(F144+SUM(E$101:E144)=D$92,F144,D$92-SUM(E$101:E144))</f>
        <v>0</v>
      </c>
      <c r="E145" s="486">
        <f t="shared" si="40"/>
        <v>0</v>
      </c>
      <c r="F145" s="485">
        <f t="shared" si="46"/>
        <v>0</v>
      </c>
      <c r="G145" s="485">
        <f t="shared" si="43"/>
        <v>0</v>
      </c>
      <c r="H145" s="486">
        <f t="shared" si="36"/>
        <v>0</v>
      </c>
      <c r="I145" s="542">
        <f t="shared" si="37"/>
        <v>0</v>
      </c>
      <c r="J145" s="478">
        <f t="shared" si="44"/>
        <v>0</v>
      </c>
      <c r="K145" s="478"/>
      <c r="L145" s="487"/>
      <c r="M145" s="478">
        <f t="shared" si="41"/>
        <v>0</v>
      </c>
      <c r="N145" s="487"/>
      <c r="O145" s="478">
        <f t="shared" si="39"/>
        <v>0</v>
      </c>
      <c r="P145" s="478">
        <f t="shared" si="42"/>
        <v>0</v>
      </c>
    </row>
    <row r="146" spans="2:16">
      <c r="B146" s="160" t="str">
        <f t="shared" si="45"/>
        <v/>
      </c>
      <c r="C146" s="472">
        <f>IF(D93="","-",+C145+1)</f>
        <v>2057</v>
      </c>
      <c r="D146" s="347">
        <f>IF(F145+SUM(E$101:E145)=D$92,F145,D$92-SUM(E$101:E145))</f>
        <v>0</v>
      </c>
      <c r="E146" s="486">
        <f t="shared" si="40"/>
        <v>0</v>
      </c>
      <c r="F146" s="485">
        <f t="shared" si="46"/>
        <v>0</v>
      </c>
      <c r="G146" s="485">
        <f t="shared" si="43"/>
        <v>0</v>
      </c>
      <c r="H146" s="486">
        <f t="shared" si="36"/>
        <v>0</v>
      </c>
      <c r="I146" s="542">
        <f t="shared" si="37"/>
        <v>0</v>
      </c>
      <c r="J146" s="478">
        <f t="shared" si="44"/>
        <v>0</v>
      </c>
      <c r="K146" s="478"/>
      <c r="L146" s="487"/>
      <c r="M146" s="478">
        <f t="shared" si="41"/>
        <v>0</v>
      </c>
      <c r="N146" s="487"/>
      <c r="O146" s="478">
        <f t="shared" si="39"/>
        <v>0</v>
      </c>
      <c r="P146" s="478">
        <f t="shared" si="42"/>
        <v>0</v>
      </c>
    </row>
    <row r="147" spans="2:16">
      <c r="B147" s="160" t="str">
        <f t="shared" si="45"/>
        <v/>
      </c>
      <c r="C147" s="472">
        <f>IF(D93="","-",+C146+1)</f>
        <v>2058</v>
      </c>
      <c r="D147" s="347">
        <f>IF(F146+SUM(E$101:E146)=D$92,F146,D$92-SUM(E$101:E146))</f>
        <v>0</v>
      </c>
      <c r="E147" s="486">
        <f t="shared" si="40"/>
        <v>0</v>
      </c>
      <c r="F147" s="485">
        <f t="shared" si="46"/>
        <v>0</v>
      </c>
      <c r="G147" s="485">
        <f t="shared" si="43"/>
        <v>0</v>
      </c>
      <c r="H147" s="486">
        <f t="shared" si="36"/>
        <v>0</v>
      </c>
      <c r="I147" s="542">
        <f t="shared" si="37"/>
        <v>0</v>
      </c>
      <c r="J147" s="478">
        <f t="shared" si="44"/>
        <v>0</v>
      </c>
      <c r="K147" s="478"/>
      <c r="L147" s="487"/>
      <c r="M147" s="478">
        <f t="shared" si="41"/>
        <v>0</v>
      </c>
      <c r="N147" s="487"/>
      <c r="O147" s="478">
        <f t="shared" si="39"/>
        <v>0</v>
      </c>
      <c r="P147" s="478">
        <f t="shared" si="42"/>
        <v>0</v>
      </c>
    </row>
    <row r="148" spans="2:16">
      <c r="B148" s="160" t="str">
        <f t="shared" si="45"/>
        <v/>
      </c>
      <c r="C148" s="472">
        <f>IF(D93="","-",+C147+1)</f>
        <v>2059</v>
      </c>
      <c r="D148" s="347">
        <f>IF(F147+SUM(E$101:E147)=D$92,F147,D$92-SUM(E$101:E147))</f>
        <v>0</v>
      </c>
      <c r="E148" s="486">
        <f t="shared" si="40"/>
        <v>0</v>
      </c>
      <c r="F148" s="485">
        <f t="shared" si="46"/>
        <v>0</v>
      </c>
      <c r="G148" s="485">
        <f t="shared" si="43"/>
        <v>0</v>
      </c>
      <c r="H148" s="486">
        <f t="shared" si="36"/>
        <v>0</v>
      </c>
      <c r="I148" s="542">
        <f t="shared" si="37"/>
        <v>0</v>
      </c>
      <c r="J148" s="478">
        <f t="shared" si="44"/>
        <v>0</v>
      </c>
      <c r="K148" s="478"/>
      <c r="L148" s="487"/>
      <c r="M148" s="478">
        <f t="shared" si="41"/>
        <v>0</v>
      </c>
      <c r="N148" s="487"/>
      <c r="O148" s="478">
        <f t="shared" si="39"/>
        <v>0</v>
      </c>
      <c r="P148" s="478">
        <f t="shared" si="42"/>
        <v>0</v>
      </c>
    </row>
    <row r="149" spans="2:16">
      <c r="B149" s="160" t="str">
        <f t="shared" si="45"/>
        <v/>
      </c>
      <c r="C149" s="472">
        <f>IF(D93="","-",+C148+1)</f>
        <v>2060</v>
      </c>
      <c r="D149" s="347">
        <f>IF(F148+SUM(E$101:E148)=D$92,F148,D$92-SUM(E$101:E148))</f>
        <v>0</v>
      </c>
      <c r="E149" s="486">
        <f t="shared" si="40"/>
        <v>0</v>
      </c>
      <c r="F149" s="485">
        <f t="shared" si="46"/>
        <v>0</v>
      </c>
      <c r="G149" s="485">
        <f t="shared" si="43"/>
        <v>0</v>
      </c>
      <c r="H149" s="486">
        <f t="shared" si="36"/>
        <v>0</v>
      </c>
      <c r="I149" s="542">
        <f t="shared" si="37"/>
        <v>0</v>
      </c>
      <c r="J149" s="478">
        <f t="shared" si="44"/>
        <v>0</v>
      </c>
      <c r="K149" s="478"/>
      <c r="L149" s="487"/>
      <c r="M149" s="478">
        <f t="shared" si="41"/>
        <v>0</v>
      </c>
      <c r="N149" s="487"/>
      <c r="O149" s="478">
        <f t="shared" si="39"/>
        <v>0</v>
      </c>
      <c r="P149" s="478">
        <f t="shared" si="42"/>
        <v>0</v>
      </c>
    </row>
    <row r="150" spans="2:16">
      <c r="B150" s="160" t="str">
        <f t="shared" si="45"/>
        <v/>
      </c>
      <c r="C150" s="472">
        <f>IF(D93="","-",+C149+1)</f>
        <v>2061</v>
      </c>
      <c r="D150" s="347">
        <f>IF(F149+SUM(E$101:E149)=D$92,F149,D$92-SUM(E$101:E149))</f>
        <v>0</v>
      </c>
      <c r="E150" s="486">
        <f t="shared" si="40"/>
        <v>0</v>
      </c>
      <c r="F150" s="485">
        <f t="shared" si="46"/>
        <v>0</v>
      </c>
      <c r="G150" s="485">
        <f t="shared" si="43"/>
        <v>0</v>
      </c>
      <c r="H150" s="486">
        <f t="shared" si="36"/>
        <v>0</v>
      </c>
      <c r="I150" s="542">
        <f t="shared" si="37"/>
        <v>0</v>
      </c>
      <c r="J150" s="478">
        <f t="shared" si="44"/>
        <v>0</v>
      </c>
      <c r="K150" s="478"/>
      <c r="L150" s="487"/>
      <c r="M150" s="478">
        <f t="shared" si="41"/>
        <v>0</v>
      </c>
      <c r="N150" s="487"/>
      <c r="O150" s="478">
        <f t="shared" si="39"/>
        <v>0</v>
      </c>
      <c r="P150" s="478">
        <f t="shared" si="42"/>
        <v>0</v>
      </c>
    </row>
    <row r="151" spans="2:16">
      <c r="B151" s="160" t="str">
        <f t="shared" si="45"/>
        <v/>
      </c>
      <c r="C151" s="472">
        <f>IF(D93="","-",+C150+1)</f>
        <v>2062</v>
      </c>
      <c r="D151" s="347">
        <f>IF(F150+SUM(E$101:E150)=D$92,F150,D$92-SUM(E$101:E150))</f>
        <v>0</v>
      </c>
      <c r="E151" s="486">
        <f t="shared" si="40"/>
        <v>0</v>
      </c>
      <c r="F151" s="485">
        <f t="shared" si="46"/>
        <v>0</v>
      </c>
      <c r="G151" s="485">
        <f t="shared" si="43"/>
        <v>0</v>
      </c>
      <c r="H151" s="486">
        <f t="shared" si="36"/>
        <v>0</v>
      </c>
      <c r="I151" s="542">
        <f t="shared" si="37"/>
        <v>0</v>
      </c>
      <c r="J151" s="478">
        <f t="shared" si="44"/>
        <v>0</v>
      </c>
      <c r="K151" s="478"/>
      <c r="L151" s="487"/>
      <c r="M151" s="478">
        <f t="shared" si="41"/>
        <v>0</v>
      </c>
      <c r="N151" s="487"/>
      <c r="O151" s="478">
        <f t="shared" si="39"/>
        <v>0</v>
      </c>
      <c r="P151" s="478">
        <f t="shared" si="42"/>
        <v>0</v>
      </c>
    </row>
    <row r="152" spans="2:16">
      <c r="B152" s="160" t="str">
        <f t="shared" si="45"/>
        <v/>
      </c>
      <c r="C152" s="472">
        <f>IF(D93="","-",+C151+1)</f>
        <v>2063</v>
      </c>
      <c r="D152" s="347">
        <f>IF(F151+SUM(E$101:E151)=D$92,F151,D$92-SUM(E$101:E151))</f>
        <v>0</v>
      </c>
      <c r="E152" s="486">
        <f t="shared" si="40"/>
        <v>0</v>
      </c>
      <c r="F152" s="485">
        <f t="shared" si="46"/>
        <v>0</v>
      </c>
      <c r="G152" s="485">
        <f t="shared" si="43"/>
        <v>0</v>
      </c>
      <c r="H152" s="486">
        <f t="shared" si="36"/>
        <v>0</v>
      </c>
      <c r="I152" s="542">
        <f t="shared" si="37"/>
        <v>0</v>
      </c>
      <c r="J152" s="478">
        <f t="shared" si="44"/>
        <v>0</v>
      </c>
      <c r="K152" s="478"/>
      <c r="L152" s="487"/>
      <c r="M152" s="478">
        <f t="shared" si="41"/>
        <v>0</v>
      </c>
      <c r="N152" s="487"/>
      <c r="O152" s="478">
        <f t="shared" si="39"/>
        <v>0</v>
      </c>
      <c r="P152" s="478">
        <f t="shared" si="42"/>
        <v>0</v>
      </c>
    </row>
    <row r="153" spans="2:16">
      <c r="B153" s="160" t="str">
        <f t="shared" si="45"/>
        <v/>
      </c>
      <c r="C153" s="472">
        <f>IF(D93="","-",+C152+1)</f>
        <v>2064</v>
      </c>
      <c r="D153" s="347">
        <f>IF(F152+SUM(E$101:E152)=D$92,F152,D$92-SUM(E$101:E152))</f>
        <v>0</v>
      </c>
      <c r="E153" s="486">
        <f t="shared" si="40"/>
        <v>0</v>
      </c>
      <c r="F153" s="485">
        <f t="shared" si="46"/>
        <v>0</v>
      </c>
      <c r="G153" s="485">
        <f t="shared" si="43"/>
        <v>0</v>
      </c>
      <c r="H153" s="486">
        <f t="shared" si="36"/>
        <v>0</v>
      </c>
      <c r="I153" s="542">
        <f t="shared" si="37"/>
        <v>0</v>
      </c>
      <c r="J153" s="478">
        <f t="shared" si="44"/>
        <v>0</v>
      </c>
      <c r="K153" s="478"/>
      <c r="L153" s="487"/>
      <c r="M153" s="478">
        <f t="shared" si="41"/>
        <v>0</v>
      </c>
      <c r="N153" s="487"/>
      <c r="O153" s="478">
        <f t="shared" si="39"/>
        <v>0</v>
      </c>
      <c r="P153" s="478">
        <f t="shared" si="42"/>
        <v>0</v>
      </c>
    </row>
    <row r="154" spans="2:16" ht="13.5" thickBot="1">
      <c r="B154" s="160" t="str">
        <f t="shared" si="45"/>
        <v/>
      </c>
      <c r="C154" s="489">
        <f>IF(D93="","-",+C153+1)</f>
        <v>2065</v>
      </c>
      <c r="D154" s="543">
        <f>IF(F153+SUM(E$101:E153)=D$92,F153,D$92-SUM(E$101:E153))</f>
        <v>0</v>
      </c>
      <c r="E154" s="544">
        <f t="shared" si="40"/>
        <v>0</v>
      </c>
      <c r="F154" s="490">
        <f t="shared" si="46"/>
        <v>0</v>
      </c>
      <c r="G154" s="490">
        <f t="shared" si="43"/>
        <v>0</v>
      </c>
      <c r="H154" s="492">
        <f t="shared" ref="H154" si="47">+J$94*G154+E154</f>
        <v>0</v>
      </c>
      <c r="I154" s="545">
        <f t="shared" ref="I154" si="48">+J$95*G154+E154</f>
        <v>0</v>
      </c>
      <c r="J154" s="495">
        <f t="shared" si="44"/>
        <v>0</v>
      </c>
      <c r="K154" s="478"/>
      <c r="L154" s="494"/>
      <c r="M154" s="495">
        <f t="shared" si="41"/>
        <v>0</v>
      </c>
      <c r="N154" s="494"/>
      <c r="O154" s="478">
        <f t="shared" si="39"/>
        <v>0</v>
      </c>
      <c r="P154" s="495">
        <f t="shared" si="42"/>
        <v>0</v>
      </c>
    </row>
    <row r="155" spans="2:16">
      <c r="C155" s="347" t="s">
        <v>77</v>
      </c>
      <c r="D155" s="348"/>
      <c r="E155" s="348">
        <f>SUM(E101:E154)</f>
        <v>22097</v>
      </c>
      <c r="F155" s="348"/>
      <c r="G155" s="348"/>
      <c r="H155" s="348">
        <f>SUM(H101:H154)</f>
        <v>79932.307910657226</v>
      </c>
      <c r="I155" s="348">
        <f>SUM(I101:I154)</f>
        <v>79932.307910657226</v>
      </c>
      <c r="J155" s="348">
        <f>SUM(J101:J154)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37" priority="3" stopIfTrue="1" operator="equal">
      <formula>$I$10</formula>
    </cfRule>
  </conditionalFormatting>
  <conditionalFormatting sqref="C102:C152">
    <cfRule type="cellIs" dxfId="36" priority="4" stopIfTrue="1" operator="equal">
      <formula>$J$92</formula>
    </cfRule>
  </conditionalFormatting>
  <conditionalFormatting sqref="C153:C154">
    <cfRule type="cellIs" dxfId="35" priority="2" stopIfTrue="1" operator="equal">
      <formula>$J$92</formula>
    </cfRule>
  </conditionalFormatting>
  <conditionalFormatting sqref="C100:C101">
    <cfRule type="cellIs" dxfId="34" priority="1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9"/>
  <dimension ref="A1:P162"/>
  <sheetViews>
    <sheetView zoomScaleNormal="100" zoomScaleSheetLayoutView="75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14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106280.60465116279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106280.60465116279</v>
      </c>
      <c r="O6" s="233"/>
      <c r="P6" s="233"/>
    </row>
    <row r="7" spans="1:16" ht="13.5" thickBot="1">
      <c r="C7" s="431" t="s">
        <v>46</v>
      </c>
      <c r="D7" s="599" t="s">
        <v>242</v>
      </c>
      <c r="E7" s="600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572" t="s">
        <v>241</v>
      </c>
      <c r="E9" s="577" t="s">
        <v>293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1035552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2013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2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24082.60465116279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0" t="s">
        <v>105</v>
      </c>
      <c r="O16" s="469" t="s">
        <v>105</v>
      </c>
      <c r="P16" s="243"/>
    </row>
    <row r="17" spans="2:16">
      <c r="B17" s="160"/>
      <c r="C17" s="472">
        <f>IF(D11= "","-",D11)</f>
        <v>2013</v>
      </c>
      <c r="D17" s="581">
        <v>5562500</v>
      </c>
      <c r="E17" s="601">
        <v>89142.628205128203</v>
      </c>
      <c r="F17" s="581">
        <v>5473357.371794872</v>
      </c>
      <c r="G17" s="601">
        <v>870775.06277038739</v>
      </c>
      <c r="H17" s="602">
        <v>870775.06277038739</v>
      </c>
      <c r="I17" s="475">
        <v>0</v>
      </c>
      <c r="J17" s="349"/>
      <c r="K17" s="554">
        <f t="shared" ref="K17:K22" si="0">G17</f>
        <v>870775.06277038739</v>
      </c>
      <c r="L17" s="603">
        <f t="shared" ref="L17:L22" si="1">IF(K17&lt;&gt;0,+G17-K17,0)</f>
        <v>0</v>
      </c>
      <c r="M17" s="554">
        <f t="shared" ref="M17:M22" si="2">H17</f>
        <v>870775.06277038739</v>
      </c>
      <c r="N17" s="477">
        <f t="shared" ref="N17:N22" si="3">IF(M17&lt;&gt;0,+H17-M17,0)</f>
        <v>0</v>
      </c>
      <c r="O17" s="475">
        <f t="shared" ref="O17:O22" si="4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2014</v>
      </c>
      <c r="D18" s="586">
        <v>5473357</v>
      </c>
      <c r="E18" s="585">
        <v>19910</v>
      </c>
      <c r="F18" s="586">
        <v>5453447</v>
      </c>
      <c r="G18" s="585">
        <v>770625</v>
      </c>
      <c r="H18" s="587">
        <v>770625</v>
      </c>
      <c r="I18" s="475">
        <f>H18-G18</f>
        <v>0</v>
      </c>
      <c r="J18" s="349"/>
      <c r="K18" s="476">
        <f t="shared" si="0"/>
        <v>770625</v>
      </c>
      <c r="L18" s="603">
        <f t="shared" si="1"/>
        <v>0</v>
      </c>
      <c r="M18" s="476">
        <f t="shared" si="2"/>
        <v>770625</v>
      </c>
      <c r="N18" s="478">
        <f t="shared" si="3"/>
        <v>0</v>
      </c>
      <c r="O18" s="475">
        <f t="shared" si="4"/>
        <v>0</v>
      </c>
      <c r="P18" s="243"/>
    </row>
    <row r="19" spans="2:16">
      <c r="B19" s="160" t="str">
        <f>IF(D19=F18,"","IU")</f>
        <v/>
      </c>
      <c r="C19" s="472">
        <f>IF(D11="","-",+C18+1)</f>
        <v>2015</v>
      </c>
      <c r="D19" s="586">
        <v>5453447</v>
      </c>
      <c r="E19" s="585">
        <f t="shared" ref="E19:E72" si="5">IF(+$I$14&lt;F18,$I$14,D19)</f>
        <v>24082.60465116279</v>
      </c>
      <c r="F19" s="586">
        <v>5433533</v>
      </c>
      <c r="G19" s="585">
        <v>769045</v>
      </c>
      <c r="H19" s="587">
        <v>769045</v>
      </c>
      <c r="I19" s="475">
        <f t="shared" ref="I19:I72" si="6">H19-G19</f>
        <v>0</v>
      </c>
      <c r="J19" s="349"/>
      <c r="K19" s="476">
        <f t="shared" si="0"/>
        <v>769045</v>
      </c>
      <c r="L19" s="603">
        <f t="shared" si="1"/>
        <v>0</v>
      </c>
      <c r="M19" s="476">
        <f t="shared" si="2"/>
        <v>769045</v>
      </c>
      <c r="N19" s="478">
        <f t="shared" si="3"/>
        <v>0</v>
      </c>
      <c r="O19" s="475">
        <f t="shared" si="4"/>
        <v>0</v>
      </c>
      <c r="P19" s="243"/>
    </row>
    <row r="20" spans="2:16">
      <c r="B20" s="160" t="str">
        <f t="shared" ref="B20:B72" si="7">IF(D20=F19,"","IU")</f>
        <v>IU</v>
      </c>
      <c r="C20" s="472">
        <f>IF(D11="","-",+C19+1)</f>
        <v>2016</v>
      </c>
      <c r="D20" s="586">
        <v>906584.91025641025</v>
      </c>
      <c r="E20" s="585">
        <v>19914.461538461539</v>
      </c>
      <c r="F20" s="586">
        <v>886670.44871794875</v>
      </c>
      <c r="G20" s="585">
        <v>136209.46153846153</v>
      </c>
      <c r="H20" s="587">
        <v>136209.46153846153</v>
      </c>
      <c r="I20" s="475">
        <f t="shared" si="6"/>
        <v>0</v>
      </c>
      <c r="J20" s="349"/>
      <c r="K20" s="476">
        <f t="shared" si="0"/>
        <v>136209.46153846153</v>
      </c>
      <c r="L20" s="603">
        <f t="shared" si="1"/>
        <v>0</v>
      </c>
      <c r="M20" s="476">
        <f t="shared" si="2"/>
        <v>136209.46153846153</v>
      </c>
      <c r="N20" s="478">
        <f t="shared" si="3"/>
        <v>0</v>
      </c>
      <c r="O20" s="475">
        <f t="shared" si="4"/>
        <v>0</v>
      </c>
      <c r="P20" s="243"/>
    </row>
    <row r="21" spans="2:16">
      <c r="B21" s="160" t="str">
        <f t="shared" si="7"/>
        <v>IU</v>
      </c>
      <c r="C21" s="472">
        <f>IF(D11="","-",+C20+1)</f>
        <v>2017</v>
      </c>
      <c r="D21" s="586">
        <v>884072.91025641025</v>
      </c>
      <c r="E21" s="585">
        <v>22512</v>
      </c>
      <c r="F21" s="586">
        <v>861560.91025641025</v>
      </c>
      <c r="G21" s="585">
        <v>132155</v>
      </c>
      <c r="H21" s="587">
        <v>132155</v>
      </c>
      <c r="I21" s="475">
        <f t="shared" si="6"/>
        <v>0</v>
      </c>
      <c r="J21" s="349"/>
      <c r="K21" s="476">
        <f t="shared" si="0"/>
        <v>132155</v>
      </c>
      <c r="L21" s="603">
        <f t="shared" si="1"/>
        <v>0</v>
      </c>
      <c r="M21" s="476">
        <f t="shared" si="2"/>
        <v>132155</v>
      </c>
      <c r="N21" s="478">
        <f t="shared" si="3"/>
        <v>0</v>
      </c>
      <c r="O21" s="475">
        <f t="shared" si="4"/>
        <v>0</v>
      </c>
      <c r="P21" s="243"/>
    </row>
    <row r="22" spans="2:16">
      <c r="B22" s="160" t="str">
        <f t="shared" si="7"/>
        <v>IU</v>
      </c>
      <c r="C22" s="472">
        <f>IF(D11="","-",+C21+1)</f>
        <v>2018</v>
      </c>
      <c r="D22" s="586">
        <v>861060.64358974365</v>
      </c>
      <c r="E22" s="585">
        <v>23012.266666666666</v>
      </c>
      <c r="F22" s="586">
        <v>838048.37692307692</v>
      </c>
      <c r="G22" s="585">
        <v>136430.26666666666</v>
      </c>
      <c r="H22" s="587">
        <v>136430.26666666666</v>
      </c>
      <c r="I22" s="475">
        <f t="shared" si="6"/>
        <v>0</v>
      </c>
      <c r="J22" s="349"/>
      <c r="K22" s="476">
        <f t="shared" si="0"/>
        <v>136430.26666666666</v>
      </c>
      <c r="L22" s="603">
        <f t="shared" si="1"/>
        <v>0</v>
      </c>
      <c r="M22" s="476">
        <f t="shared" si="2"/>
        <v>136430.26666666666</v>
      </c>
      <c r="N22" s="478">
        <f t="shared" si="3"/>
        <v>0</v>
      </c>
      <c r="O22" s="475">
        <f t="shared" si="4"/>
        <v>0</v>
      </c>
      <c r="P22" s="243"/>
    </row>
    <row r="23" spans="2:16">
      <c r="B23" s="160" t="str">
        <f t="shared" si="7"/>
        <v/>
      </c>
      <c r="C23" s="472">
        <f>IF(D11="","-",+C22+1)</f>
        <v>2019</v>
      </c>
      <c r="D23" s="586">
        <v>838048.37692307692</v>
      </c>
      <c r="E23" s="585">
        <v>23012.266666666666</v>
      </c>
      <c r="F23" s="586">
        <v>815036.1102564102</v>
      </c>
      <c r="G23" s="585">
        <v>133315.26666666666</v>
      </c>
      <c r="H23" s="587">
        <v>133315.26666666666</v>
      </c>
      <c r="I23" s="475">
        <f t="shared" si="6"/>
        <v>0</v>
      </c>
      <c r="J23" s="475"/>
      <c r="K23" s="476">
        <f t="shared" ref="K23" si="8">G23</f>
        <v>133315.26666666666</v>
      </c>
      <c r="L23" s="603">
        <f t="shared" ref="L23" si="9">IF(K23&lt;&gt;0,+G23-K23,0)</f>
        <v>0</v>
      </c>
      <c r="M23" s="476">
        <f t="shared" ref="M23" si="10">H23</f>
        <v>133315.26666666666</v>
      </c>
      <c r="N23" s="478">
        <f t="shared" ref="N23:N72" si="11">IF(M23&lt;&gt;0,+H23-M23,0)</f>
        <v>0</v>
      </c>
      <c r="O23" s="478">
        <f t="shared" ref="O23:O72" si="12">+N23-L23</f>
        <v>0</v>
      </c>
      <c r="P23" s="243"/>
    </row>
    <row r="24" spans="2:16">
      <c r="B24" s="160" t="str">
        <f t="shared" si="7"/>
        <v/>
      </c>
      <c r="C24" s="472">
        <f>IF(D11="","-",+C23+1)</f>
        <v>2020</v>
      </c>
      <c r="D24" s="586">
        <v>815036.1102564102</v>
      </c>
      <c r="E24" s="585">
        <v>24656</v>
      </c>
      <c r="F24" s="586">
        <v>790380.1102564102</v>
      </c>
      <c r="G24" s="585">
        <v>111352.31037205369</v>
      </c>
      <c r="H24" s="587">
        <v>111352.31037205369</v>
      </c>
      <c r="I24" s="475">
        <f t="shared" si="6"/>
        <v>0</v>
      </c>
      <c r="J24" s="475"/>
      <c r="K24" s="476">
        <f t="shared" ref="K24" si="13">G24</f>
        <v>111352.31037205369</v>
      </c>
      <c r="L24" s="603">
        <f t="shared" ref="L24" si="14">IF(K24&lt;&gt;0,+G24-K24,0)</f>
        <v>0</v>
      </c>
      <c r="M24" s="476">
        <f t="shared" ref="M24" si="15">H24</f>
        <v>111352.31037205369</v>
      </c>
      <c r="N24" s="478">
        <f t="shared" si="11"/>
        <v>0</v>
      </c>
      <c r="O24" s="478">
        <f t="shared" si="12"/>
        <v>0</v>
      </c>
      <c r="P24" s="243"/>
    </row>
    <row r="25" spans="2:16">
      <c r="B25" s="160" t="str">
        <f t="shared" si="7"/>
        <v>IU</v>
      </c>
      <c r="C25" s="472">
        <f>IF(D11="","-",+C24+1)</f>
        <v>2021</v>
      </c>
      <c r="D25" s="586">
        <v>786433.23893858085</v>
      </c>
      <c r="E25" s="585">
        <v>24082.60465116279</v>
      </c>
      <c r="F25" s="586">
        <v>762350.6342874181</v>
      </c>
      <c r="G25" s="585">
        <v>106280.60465116279</v>
      </c>
      <c r="H25" s="587">
        <v>106280.60465116279</v>
      </c>
      <c r="I25" s="475">
        <f t="shared" si="6"/>
        <v>0</v>
      </c>
      <c r="J25" s="475"/>
      <c r="K25" s="476">
        <f t="shared" ref="K25" si="16">G25</f>
        <v>106280.60465116279</v>
      </c>
      <c r="L25" s="603">
        <f t="shared" ref="L25" si="17">IF(K25&lt;&gt;0,+G25-K25,0)</f>
        <v>0</v>
      </c>
      <c r="M25" s="476">
        <f t="shared" ref="M25" si="18">H25</f>
        <v>106280.60465116279</v>
      </c>
      <c r="N25" s="478">
        <f t="shared" si="11"/>
        <v>0</v>
      </c>
      <c r="O25" s="478">
        <f t="shared" si="12"/>
        <v>0</v>
      </c>
      <c r="P25" s="243"/>
    </row>
    <row r="26" spans="2:16">
      <c r="B26" s="160" t="str">
        <f t="shared" si="7"/>
        <v>IU</v>
      </c>
      <c r="C26" s="472">
        <f>IF(D11="","-",+C25+1)</f>
        <v>2022</v>
      </c>
      <c r="D26" s="485">
        <f>IF(F25+SUM(E$17:E25)=D$10,F25,D$10-SUM(E$17:E25))</f>
        <v>765227.16762075131</v>
      </c>
      <c r="E26" s="484">
        <f t="shared" si="5"/>
        <v>24082.60465116279</v>
      </c>
      <c r="F26" s="485">
        <f t="shared" ref="F26:F72" si="19">+D26-E26</f>
        <v>741144.56296958856</v>
      </c>
      <c r="G26" s="486">
        <f t="shared" ref="G26:G72" si="20">(D26+F26)/2*I$12+E26</f>
        <v>110741.41007926104</v>
      </c>
      <c r="H26" s="455">
        <f t="shared" ref="H26:H72" si="21">+(D26+F26)/2*I$13+E26</f>
        <v>110741.41007926104</v>
      </c>
      <c r="I26" s="475">
        <f t="shared" si="6"/>
        <v>0</v>
      </c>
      <c r="J26" s="475"/>
      <c r="K26" s="487"/>
      <c r="L26" s="478">
        <f t="shared" ref="L26:L72" si="22">IF(K26&lt;&gt;0,+G26-K26,0)</f>
        <v>0</v>
      </c>
      <c r="M26" s="487"/>
      <c r="N26" s="478">
        <f t="shared" si="11"/>
        <v>0</v>
      </c>
      <c r="O26" s="478">
        <f t="shared" si="12"/>
        <v>0</v>
      </c>
      <c r="P26" s="243"/>
    </row>
    <row r="27" spans="2:16">
      <c r="B27" s="160" t="str">
        <f t="shared" si="7"/>
        <v/>
      </c>
      <c r="C27" s="472">
        <f>IF(D11="","-",+C26+1)</f>
        <v>2023</v>
      </c>
      <c r="D27" s="485">
        <f>IF(F26+SUM(E$17:E26)=D$10,F26,D$10-SUM(E$17:E26))</f>
        <v>741144.56296958856</v>
      </c>
      <c r="E27" s="484">
        <f t="shared" si="5"/>
        <v>24082.60465116279</v>
      </c>
      <c r="F27" s="485">
        <f t="shared" si="19"/>
        <v>717061.95831842581</v>
      </c>
      <c r="G27" s="486">
        <f t="shared" si="20"/>
        <v>107970.55384465944</v>
      </c>
      <c r="H27" s="455">
        <f t="shared" si="21"/>
        <v>107970.55384465944</v>
      </c>
      <c r="I27" s="475">
        <f t="shared" si="6"/>
        <v>0</v>
      </c>
      <c r="J27" s="475"/>
      <c r="K27" s="487"/>
      <c r="L27" s="478">
        <f t="shared" si="22"/>
        <v>0</v>
      </c>
      <c r="M27" s="487"/>
      <c r="N27" s="478">
        <f t="shared" si="11"/>
        <v>0</v>
      </c>
      <c r="O27" s="478">
        <f t="shared" si="12"/>
        <v>0</v>
      </c>
      <c r="P27" s="243"/>
    </row>
    <row r="28" spans="2:16">
      <c r="B28" s="160" t="str">
        <f t="shared" si="7"/>
        <v/>
      </c>
      <c r="C28" s="472">
        <f>IF(D11="","-",+C27+1)</f>
        <v>2024</v>
      </c>
      <c r="D28" s="485">
        <f>IF(F27+SUM(E$17:E27)=D$10,F27,D$10-SUM(E$17:E27))</f>
        <v>717061.95831842581</v>
      </c>
      <c r="E28" s="484">
        <f t="shared" si="5"/>
        <v>24082.60465116279</v>
      </c>
      <c r="F28" s="485">
        <f t="shared" si="19"/>
        <v>692979.35366726306</v>
      </c>
      <c r="G28" s="486">
        <f t="shared" si="20"/>
        <v>105199.69761005783</v>
      </c>
      <c r="H28" s="455">
        <f t="shared" si="21"/>
        <v>105199.69761005783</v>
      </c>
      <c r="I28" s="475">
        <f t="shared" si="6"/>
        <v>0</v>
      </c>
      <c r="J28" s="475"/>
      <c r="K28" s="487"/>
      <c r="L28" s="478">
        <f t="shared" si="22"/>
        <v>0</v>
      </c>
      <c r="M28" s="487"/>
      <c r="N28" s="478">
        <f t="shared" si="11"/>
        <v>0</v>
      </c>
      <c r="O28" s="478">
        <f t="shared" si="12"/>
        <v>0</v>
      </c>
      <c r="P28" s="243"/>
    </row>
    <row r="29" spans="2:16">
      <c r="B29" s="160" t="str">
        <f t="shared" si="7"/>
        <v/>
      </c>
      <c r="C29" s="472">
        <f>IF(D11="","-",+C28+1)</f>
        <v>2025</v>
      </c>
      <c r="D29" s="485">
        <f>IF(F28+SUM(E$17:E28)=D$10,F28,D$10-SUM(E$17:E28))</f>
        <v>692979.35366726306</v>
      </c>
      <c r="E29" s="484">
        <f t="shared" si="5"/>
        <v>24082.60465116279</v>
      </c>
      <c r="F29" s="485">
        <f t="shared" si="19"/>
        <v>668896.74901610031</v>
      </c>
      <c r="G29" s="486">
        <f t="shared" si="20"/>
        <v>102428.84137545624</v>
      </c>
      <c r="H29" s="455">
        <f t="shared" si="21"/>
        <v>102428.84137545624</v>
      </c>
      <c r="I29" s="475">
        <f t="shared" si="6"/>
        <v>0</v>
      </c>
      <c r="J29" s="475"/>
      <c r="K29" s="487"/>
      <c r="L29" s="478">
        <f t="shared" si="22"/>
        <v>0</v>
      </c>
      <c r="M29" s="487"/>
      <c r="N29" s="478">
        <f t="shared" si="11"/>
        <v>0</v>
      </c>
      <c r="O29" s="478">
        <f t="shared" si="12"/>
        <v>0</v>
      </c>
      <c r="P29" s="243"/>
    </row>
    <row r="30" spans="2:16">
      <c r="B30" s="160" t="str">
        <f t="shared" si="7"/>
        <v/>
      </c>
      <c r="C30" s="472">
        <f>IF(D11="","-",+C29+1)</f>
        <v>2026</v>
      </c>
      <c r="D30" s="485">
        <f>IF(F29+SUM(E$17:E29)=D$10,F29,D$10-SUM(E$17:E29))</f>
        <v>668896.74901610031</v>
      </c>
      <c r="E30" s="484">
        <f t="shared" si="5"/>
        <v>24082.60465116279</v>
      </c>
      <c r="F30" s="485">
        <f t="shared" si="19"/>
        <v>644814.14436493756</v>
      </c>
      <c r="G30" s="486">
        <f t="shared" si="20"/>
        <v>99657.985140854624</v>
      </c>
      <c r="H30" s="455">
        <f t="shared" si="21"/>
        <v>99657.985140854624</v>
      </c>
      <c r="I30" s="475">
        <f t="shared" si="6"/>
        <v>0</v>
      </c>
      <c r="J30" s="475"/>
      <c r="K30" s="487"/>
      <c r="L30" s="478">
        <f t="shared" si="22"/>
        <v>0</v>
      </c>
      <c r="M30" s="487"/>
      <c r="N30" s="478">
        <f t="shared" si="11"/>
        <v>0</v>
      </c>
      <c r="O30" s="478">
        <f t="shared" si="12"/>
        <v>0</v>
      </c>
      <c r="P30" s="243"/>
    </row>
    <row r="31" spans="2:16">
      <c r="B31" s="160" t="str">
        <f t="shared" si="7"/>
        <v/>
      </c>
      <c r="C31" s="472">
        <f>IF(D11="","-",+C30+1)</f>
        <v>2027</v>
      </c>
      <c r="D31" s="485">
        <f>IF(F30+SUM(E$17:E30)=D$10,F30,D$10-SUM(E$17:E30))</f>
        <v>644814.14436493756</v>
      </c>
      <c r="E31" s="484">
        <f t="shared" si="5"/>
        <v>24082.60465116279</v>
      </c>
      <c r="F31" s="485">
        <f t="shared" si="19"/>
        <v>620731.53971377481</v>
      </c>
      <c r="G31" s="486">
        <f t="shared" si="20"/>
        <v>96887.128906253027</v>
      </c>
      <c r="H31" s="455">
        <f t="shared" si="21"/>
        <v>96887.128906253027</v>
      </c>
      <c r="I31" s="475">
        <f t="shared" si="6"/>
        <v>0</v>
      </c>
      <c r="J31" s="475"/>
      <c r="K31" s="487"/>
      <c r="L31" s="478">
        <f t="shared" si="22"/>
        <v>0</v>
      </c>
      <c r="M31" s="487"/>
      <c r="N31" s="478">
        <f t="shared" si="11"/>
        <v>0</v>
      </c>
      <c r="O31" s="478">
        <f t="shared" si="12"/>
        <v>0</v>
      </c>
      <c r="P31" s="243"/>
    </row>
    <row r="32" spans="2:16">
      <c r="B32" s="160" t="str">
        <f t="shared" si="7"/>
        <v/>
      </c>
      <c r="C32" s="472">
        <f>IF(D11="","-",+C31+1)</f>
        <v>2028</v>
      </c>
      <c r="D32" s="485">
        <f>IF(F31+SUM(E$17:E31)=D$10,F31,D$10-SUM(E$17:E31))</f>
        <v>620731.53971377481</v>
      </c>
      <c r="E32" s="484">
        <f t="shared" si="5"/>
        <v>24082.60465116279</v>
      </c>
      <c r="F32" s="485">
        <f t="shared" si="19"/>
        <v>596648.93506261206</v>
      </c>
      <c r="G32" s="486">
        <f t="shared" si="20"/>
        <v>94116.272671651401</v>
      </c>
      <c r="H32" s="455">
        <f t="shared" si="21"/>
        <v>94116.272671651401</v>
      </c>
      <c r="I32" s="475">
        <f t="shared" si="6"/>
        <v>0</v>
      </c>
      <c r="J32" s="475"/>
      <c r="K32" s="487"/>
      <c r="L32" s="478">
        <f t="shared" si="22"/>
        <v>0</v>
      </c>
      <c r="M32" s="487"/>
      <c r="N32" s="478">
        <f t="shared" si="11"/>
        <v>0</v>
      </c>
      <c r="O32" s="478">
        <f t="shared" si="12"/>
        <v>0</v>
      </c>
      <c r="P32" s="243"/>
    </row>
    <row r="33" spans="2:16">
      <c r="B33" s="160" t="str">
        <f t="shared" si="7"/>
        <v/>
      </c>
      <c r="C33" s="472">
        <f>IF(D11="","-",+C32+1)</f>
        <v>2029</v>
      </c>
      <c r="D33" s="485">
        <f>IF(F32+SUM(E$17:E32)=D$10,F32,D$10-SUM(E$17:E32))</f>
        <v>596648.93506261206</v>
      </c>
      <c r="E33" s="484">
        <f t="shared" si="5"/>
        <v>24082.60465116279</v>
      </c>
      <c r="F33" s="485">
        <f t="shared" si="19"/>
        <v>572566.33041144931</v>
      </c>
      <c r="G33" s="486">
        <f t="shared" si="20"/>
        <v>91345.416437049818</v>
      </c>
      <c r="H33" s="455">
        <f t="shared" si="21"/>
        <v>91345.416437049818</v>
      </c>
      <c r="I33" s="475">
        <f t="shared" si="6"/>
        <v>0</v>
      </c>
      <c r="J33" s="475"/>
      <c r="K33" s="487"/>
      <c r="L33" s="478">
        <f t="shared" si="22"/>
        <v>0</v>
      </c>
      <c r="M33" s="487"/>
      <c r="N33" s="478">
        <f t="shared" si="11"/>
        <v>0</v>
      </c>
      <c r="O33" s="478">
        <f t="shared" si="12"/>
        <v>0</v>
      </c>
      <c r="P33" s="243"/>
    </row>
    <row r="34" spans="2:16">
      <c r="B34" s="160" t="str">
        <f t="shared" si="7"/>
        <v/>
      </c>
      <c r="C34" s="472">
        <f>IF(D11="","-",+C33+1)</f>
        <v>2030</v>
      </c>
      <c r="D34" s="485">
        <f>IF(F33+SUM(E$17:E33)=D$10,F33,D$10-SUM(E$17:E33))</f>
        <v>572566.33041144931</v>
      </c>
      <c r="E34" s="484">
        <f t="shared" si="5"/>
        <v>24082.60465116279</v>
      </c>
      <c r="F34" s="485">
        <f t="shared" si="19"/>
        <v>548483.72576028656</v>
      </c>
      <c r="G34" s="486">
        <f t="shared" si="20"/>
        <v>88574.560202448192</v>
      </c>
      <c r="H34" s="455">
        <f t="shared" si="21"/>
        <v>88574.560202448192</v>
      </c>
      <c r="I34" s="475">
        <f t="shared" si="6"/>
        <v>0</v>
      </c>
      <c r="J34" s="475"/>
      <c r="K34" s="487"/>
      <c r="L34" s="478">
        <f t="shared" si="22"/>
        <v>0</v>
      </c>
      <c r="M34" s="487"/>
      <c r="N34" s="478">
        <f t="shared" si="11"/>
        <v>0</v>
      </c>
      <c r="O34" s="478">
        <f t="shared" si="12"/>
        <v>0</v>
      </c>
      <c r="P34" s="243"/>
    </row>
    <row r="35" spans="2:16">
      <c r="B35" s="160" t="str">
        <f t="shared" si="7"/>
        <v/>
      </c>
      <c r="C35" s="472">
        <f>IF(D11="","-",+C34+1)</f>
        <v>2031</v>
      </c>
      <c r="D35" s="485">
        <f>IF(F34+SUM(E$17:E34)=D$10,F34,D$10-SUM(E$17:E34))</f>
        <v>548483.72576028656</v>
      </c>
      <c r="E35" s="484">
        <f t="shared" si="5"/>
        <v>24082.60465116279</v>
      </c>
      <c r="F35" s="485">
        <f t="shared" si="19"/>
        <v>524401.12110912381</v>
      </c>
      <c r="G35" s="486">
        <f t="shared" si="20"/>
        <v>85803.703967846595</v>
      </c>
      <c r="H35" s="455">
        <f t="shared" si="21"/>
        <v>85803.703967846595</v>
      </c>
      <c r="I35" s="475">
        <f t="shared" si="6"/>
        <v>0</v>
      </c>
      <c r="J35" s="475"/>
      <c r="K35" s="487"/>
      <c r="L35" s="478">
        <f t="shared" si="22"/>
        <v>0</v>
      </c>
      <c r="M35" s="487"/>
      <c r="N35" s="478">
        <f t="shared" si="11"/>
        <v>0</v>
      </c>
      <c r="O35" s="478">
        <f t="shared" si="12"/>
        <v>0</v>
      </c>
      <c r="P35" s="243"/>
    </row>
    <row r="36" spans="2:16">
      <c r="B36" s="160" t="str">
        <f t="shared" si="7"/>
        <v/>
      </c>
      <c r="C36" s="472">
        <f>IF(D11="","-",+C35+1)</f>
        <v>2032</v>
      </c>
      <c r="D36" s="485">
        <f>IF(F35+SUM(E$17:E35)=D$10,F35,D$10-SUM(E$17:E35))</f>
        <v>524401.12110912381</v>
      </c>
      <c r="E36" s="484">
        <f t="shared" si="5"/>
        <v>24082.60465116279</v>
      </c>
      <c r="F36" s="485">
        <f t="shared" si="19"/>
        <v>500318.516457961</v>
      </c>
      <c r="G36" s="486">
        <f t="shared" si="20"/>
        <v>83032.847733244984</v>
      </c>
      <c r="H36" s="455">
        <f t="shared" si="21"/>
        <v>83032.847733244984</v>
      </c>
      <c r="I36" s="475">
        <f t="shared" si="6"/>
        <v>0</v>
      </c>
      <c r="J36" s="475"/>
      <c r="K36" s="487"/>
      <c r="L36" s="478">
        <f t="shared" si="22"/>
        <v>0</v>
      </c>
      <c r="M36" s="487"/>
      <c r="N36" s="478">
        <f t="shared" si="11"/>
        <v>0</v>
      </c>
      <c r="O36" s="478">
        <f t="shared" si="12"/>
        <v>0</v>
      </c>
      <c r="P36" s="243"/>
    </row>
    <row r="37" spans="2:16">
      <c r="B37" s="160" t="str">
        <f t="shared" si="7"/>
        <v/>
      </c>
      <c r="C37" s="472">
        <f>IF(D11="","-",+C36+1)</f>
        <v>2033</v>
      </c>
      <c r="D37" s="485">
        <f>IF(F36+SUM(E$17:E36)=D$10,F36,D$10-SUM(E$17:E36))</f>
        <v>500318.516457961</v>
      </c>
      <c r="E37" s="484">
        <f t="shared" si="5"/>
        <v>24082.60465116279</v>
      </c>
      <c r="F37" s="485">
        <f t="shared" si="19"/>
        <v>476235.91180679819</v>
      </c>
      <c r="G37" s="486">
        <f t="shared" si="20"/>
        <v>80261.991498643372</v>
      </c>
      <c r="H37" s="455">
        <f t="shared" si="21"/>
        <v>80261.991498643372</v>
      </c>
      <c r="I37" s="475">
        <f t="shared" si="6"/>
        <v>0</v>
      </c>
      <c r="J37" s="475"/>
      <c r="K37" s="487"/>
      <c r="L37" s="478">
        <f t="shared" si="22"/>
        <v>0</v>
      </c>
      <c r="M37" s="487"/>
      <c r="N37" s="478">
        <f t="shared" si="11"/>
        <v>0</v>
      </c>
      <c r="O37" s="478">
        <f t="shared" si="12"/>
        <v>0</v>
      </c>
      <c r="P37" s="243"/>
    </row>
    <row r="38" spans="2:16">
      <c r="B38" s="160" t="str">
        <f t="shared" si="7"/>
        <v/>
      </c>
      <c r="C38" s="472">
        <f>IF(D11="","-",+C37+1)</f>
        <v>2034</v>
      </c>
      <c r="D38" s="485">
        <f>IF(F37+SUM(E$17:E37)=D$10,F37,D$10-SUM(E$17:E37))</f>
        <v>476235.91180679819</v>
      </c>
      <c r="E38" s="484">
        <f t="shared" si="5"/>
        <v>24082.60465116279</v>
      </c>
      <c r="F38" s="485">
        <f t="shared" si="19"/>
        <v>452153.30715563538</v>
      </c>
      <c r="G38" s="486">
        <f t="shared" si="20"/>
        <v>77491.135264041761</v>
      </c>
      <c r="H38" s="455">
        <f t="shared" si="21"/>
        <v>77491.135264041761</v>
      </c>
      <c r="I38" s="475">
        <f t="shared" si="6"/>
        <v>0</v>
      </c>
      <c r="J38" s="475"/>
      <c r="K38" s="487"/>
      <c r="L38" s="478">
        <f t="shared" si="22"/>
        <v>0</v>
      </c>
      <c r="M38" s="487"/>
      <c r="N38" s="478">
        <f t="shared" si="11"/>
        <v>0</v>
      </c>
      <c r="O38" s="478">
        <f t="shared" si="12"/>
        <v>0</v>
      </c>
      <c r="P38" s="243"/>
    </row>
    <row r="39" spans="2:16">
      <c r="B39" s="160" t="str">
        <f t="shared" si="7"/>
        <v/>
      </c>
      <c r="C39" s="472">
        <f>IF(D11="","-",+C38+1)</f>
        <v>2035</v>
      </c>
      <c r="D39" s="485">
        <f>IF(F38+SUM(E$17:E38)=D$10,F38,D$10-SUM(E$17:E38))</f>
        <v>452153.30715563538</v>
      </c>
      <c r="E39" s="484">
        <f t="shared" si="5"/>
        <v>24082.60465116279</v>
      </c>
      <c r="F39" s="485">
        <f t="shared" si="19"/>
        <v>428070.70250447257</v>
      </c>
      <c r="G39" s="486">
        <f t="shared" si="20"/>
        <v>74720.279029440149</v>
      </c>
      <c r="H39" s="455">
        <f t="shared" si="21"/>
        <v>74720.279029440149</v>
      </c>
      <c r="I39" s="475">
        <f t="shared" si="6"/>
        <v>0</v>
      </c>
      <c r="J39" s="475"/>
      <c r="K39" s="487"/>
      <c r="L39" s="478">
        <f t="shared" si="22"/>
        <v>0</v>
      </c>
      <c r="M39" s="487"/>
      <c r="N39" s="478">
        <f t="shared" si="11"/>
        <v>0</v>
      </c>
      <c r="O39" s="478">
        <f t="shared" si="12"/>
        <v>0</v>
      </c>
      <c r="P39" s="243"/>
    </row>
    <row r="40" spans="2:16">
      <c r="B40" s="160" t="str">
        <f t="shared" si="7"/>
        <v/>
      </c>
      <c r="C40" s="472">
        <f>IF(D11="","-",+C39+1)</f>
        <v>2036</v>
      </c>
      <c r="D40" s="485">
        <f>IF(F39+SUM(E$17:E39)=D$10,F39,D$10-SUM(E$17:E39))</f>
        <v>428070.70250447257</v>
      </c>
      <c r="E40" s="484">
        <f t="shared" si="5"/>
        <v>24082.60465116279</v>
      </c>
      <c r="F40" s="485">
        <f t="shared" si="19"/>
        <v>403988.09785330977</v>
      </c>
      <c r="G40" s="486">
        <f t="shared" si="20"/>
        <v>71949.422794838538</v>
      </c>
      <c r="H40" s="455">
        <f t="shared" si="21"/>
        <v>71949.422794838538</v>
      </c>
      <c r="I40" s="475">
        <f t="shared" si="6"/>
        <v>0</v>
      </c>
      <c r="J40" s="475"/>
      <c r="K40" s="487"/>
      <c r="L40" s="478">
        <f t="shared" si="22"/>
        <v>0</v>
      </c>
      <c r="M40" s="487"/>
      <c r="N40" s="478">
        <f t="shared" si="11"/>
        <v>0</v>
      </c>
      <c r="O40" s="478">
        <f t="shared" si="12"/>
        <v>0</v>
      </c>
      <c r="P40" s="243"/>
    </row>
    <row r="41" spans="2:16">
      <c r="B41" s="160" t="str">
        <f t="shared" si="7"/>
        <v/>
      </c>
      <c r="C41" s="472">
        <f>IF(D11="","-",+C40+1)</f>
        <v>2037</v>
      </c>
      <c r="D41" s="485">
        <f>IF(F40+SUM(E$17:E40)=D$10,F40,D$10-SUM(E$17:E40))</f>
        <v>403988.09785330977</v>
      </c>
      <c r="E41" s="484">
        <f t="shared" si="5"/>
        <v>24082.60465116279</v>
      </c>
      <c r="F41" s="485">
        <f t="shared" si="19"/>
        <v>379905.49320214696</v>
      </c>
      <c r="G41" s="486">
        <f t="shared" si="20"/>
        <v>69178.566560236926</v>
      </c>
      <c r="H41" s="455">
        <f t="shared" si="21"/>
        <v>69178.566560236926</v>
      </c>
      <c r="I41" s="475">
        <f t="shared" si="6"/>
        <v>0</v>
      </c>
      <c r="J41" s="475"/>
      <c r="K41" s="487"/>
      <c r="L41" s="478">
        <f t="shared" si="22"/>
        <v>0</v>
      </c>
      <c r="M41" s="487"/>
      <c r="N41" s="478">
        <f t="shared" si="11"/>
        <v>0</v>
      </c>
      <c r="O41" s="478">
        <f t="shared" si="12"/>
        <v>0</v>
      </c>
      <c r="P41" s="243"/>
    </row>
    <row r="42" spans="2:16">
      <c r="B42" s="160" t="str">
        <f t="shared" si="7"/>
        <v/>
      </c>
      <c r="C42" s="472">
        <f>IF(D11="","-",+C41+1)</f>
        <v>2038</v>
      </c>
      <c r="D42" s="485">
        <f>IF(F41+SUM(E$17:E41)=D$10,F41,D$10-SUM(E$17:E41))</f>
        <v>379905.49320214696</v>
      </c>
      <c r="E42" s="484">
        <f t="shared" si="5"/>
        <v>24082.60465116279</v>
      </c>
      <c r="F42" s="485">
        <f t="shared" si="19"/>
        <v>355822.88855098415</v>
      </c>
      <c r="G42" s="486">
        <f t="shared" si="20"/>
        <v>66407.7103256353</v>
      </c>
      <c r="H42" s="455">
        <f t="shared" si="21"/>
        <v>66407.7103256353</v>
      </c>
      <c r="I42" s="475">
        <f t="shared" si="6"/>
        <v>0</v>
      </c>
      <c r="J42" s="475"/>
      <c r="K42" s="487"/>
      <c r="L42" s="478">
        <f t="shared" si="22"/>
        <v>0</v>
      </c>
      <c r="M42" s="487"/>
      <c r="N42" s="478">
        <f t="shared" si="11"/>
        <v>0</v>
      </c>
      <c r="O42" s="478">
        <f t="shared" si="12"/>
        <v>0</v>
      </c>
      <c r="P42" s="243"/>
    </row>
    <row r="43" spans="2:16">
      <c r="B43" s="160" t="str">
        <f t="shared" si="7"/>
        <v/>
      </c>
      <c r="C43" s="472">
        <f>IF(D11="","-",+C42+1)</f>
        <v>2039</v>
      </c>
      <c r="D43" s="485">
        <f>IF(F42+SUM(E$17:E42)=D$10,F42,D$10-SUM(E$17:E42))</f>
        <v>355822.88855098415</v>
      </c>
      <c r="E43" s="484">
        <f t="shared" si="5"/>
        <v>24082.60465116279</v>
      </c>
      <c r="F43" s="485">
        <f t="shared" si="19"/>
        <v>331740.28389982134</v>
      </c>
      <c r="G43" s="486">
        <f t="shared" si="20"/>
        <v>63636.854091033703</v>
      </c>
      <c r="H43" s="455">
        <f t="shared" si="21"/>
        <v>63636.854091033703</v>
      </c>
      <c r="I43" s="475">
        <f t="shared" si="6"/>
        <v>0</v>
      </c>
      <c r="J43" s="475"/>
      <c r="K43" s="487"/>
      <c r="L43" s="478">
        <f t="shared" si="22"/>
        <v>0</v>
      </c>
      <c r="M43" s="487"/>
      <c r="N43" s="478">
        <f t="shared" si="11"/>
        <v>0</v>
      </c>
      <c r="O43" s="478">
        <f t="shared" si="12"/>
        <v>0</v>
      </c>
      <c r="P43" s="243"/>
    </row>
    <row r="44" spans="2:16">
      <c r="B44" s="160" t="str">
        <f t="shared" si="7"/>
        <v/>
      </c>
      <c r="C44" s="472">
        <f>IF(D11="","-",+C43+1)</f>
        <v>2040</v>
      </c>
      <c r="D44" s="485">
        <f>IF(F43+SUM(E$17:E43)=D$10,F43,D$10-SUM(E$17:E43))</f>
        <v>331740.28389982134</v>
      </c>
      <c r="E44" s="484">
        <f t="shared" si="5"/>
        <v>24082.60465116279</v>
      </c>
      <c r="F44" s="485">
        <f t="shared" si="19"/>
        <v>307657.67924865853</v>
      </c>
      <c r="G44" s="486">
        <f t="shared" si="20"/>
        <v>60865.997856432077</v>
      </c>
      <c r="H44" s="455">
        <f t="shared" si="21"/>
        <v>60865.997856432077</v>
      </c>
      <c r="I44" s="475">
        <f t="shared" si="6"/>
        <v>0</v>
      </c>
      <c r="J44" s="475"/>
      <c r="K44" s="487"/>
      <c r="L44" s="478">
        <f t="shared" si="22"/>
        <v>0</v>
      </c>
      <c r="M44" s="487"/>
      <c r="N44" s="478">
        <f t="shared" si="11"/>
        <v>0</v>
      </c>
      <c r="O44" s="478">
        <f t="shared" si="12"/>
        <v>0</v>
      </c>
      <c r="P44" s="243"/>
    </row>
    <row r="45" spans="2:16">
      <c r="B45" s="160" t="str">
        <f t="shared" si="7"/>
        <v/>
      </c>
      <c r="C45" s="472">
        <f>IF(D11="","-",+C44+1)</f>
        <v>2041</v>
      </c>
      <c r="D45" s="485">
        <f>IF(F44+SUM(E$17:E44)=D$10,F44,D$10-SUM(E$17:E44))</f>
        <v>307657.67924865853</v>
      </c>
      <c r="E45" s="484">
        <f t="shared" si="5"/>
        <v>24082.60465116279</v>
      </c>
      <c r="F45" s="485">
        <f t="shared" si="19"/>
        <v>283575.07459749572</v>
      </c>
      <c r="G45" s="486">
        <f t="shared" si="20"/>
        <v>58095.14162183048</v>
      </c>
      <c r="H45" s="455">
        <f t="shared" si="21"/>
        <v>58095.14162183048</v>
      </c>
      <c r="I45" s="475">
        <f t="shared" si="6"/>
        <v>0</v>
      </c>
      <c r="J45" s="475"/>
      <c r="K45" s="487"/>
      <c r="L45" s="478">
        <f t="shared" si="22"/>
        <v>0</v>
      </c>
      <c r="M45" s="487"/>
      <c r="N45" s="478">
        <f t="shared" si="11"/>
        <v>0</v>
      </c>
      <c r="O45" s="478">
        <f t="shared" si="12"/>
        <v>0</v>
      </c>
      <c r="P45" s="243"/>
    </row>
    <row r="46" spans="2:16">
      <c r="B46" s="160" t="str">
        <f t="shared" si="7"/>
        <v/>
      </c>
      <c r="C46" s="472">
        <f>IF(D11="","-",+C45+1)</f>
        <v>2042</v>
      </c>
      <c r="D46" s="485">
        <f>IF(F45+SUM(E$17:E45)=D$10,F45,D$10-SUM(E$17:E45))</f>
        <v>283575.07459749572</v>
      </c>
      <c r="E46" s="484">
        <f t="shared" si="5"/>
        <v>24082.60465116279</v>
      </c>
      <c r="F46" s="485">
        <f t="shared" si="19"/>
        <v>259492.46994633295</v>
      </c>
      <c r="G46" s="486">
        <f t="shared" si="20"/>
        <v>55324.285387228862</v>
      </c>
      <c r="H46" s="455">
        <f t="shared" si="21"/>
        <v>55324.285387228862</v>
      </c>
      <c r="I46" s="475">
        <f t="shared" si="6"/>
        <v>0</v>
      </c>
      <c r="J46" s="475"/>
      <c r="K46" s="487"/>
      <c r="L46" s="478">
        <f t="shared" si="22"/>
        <v>0</v>
      </c>
      <c r="M46" s="487"/>
      <c r="N46" s="478">
        <f t="shared" si="11"/>
        <v>0</v>
      </c>
      <c r="O46" s="478">
        <f t="shared" si="12"/>
        <v>0</v>
      </c>
      <c r="P46" s="243"/>
    </row>
    <row r="47" spans="2:16">
      <c r="B47" s="160" t="str">
        <f t="shared" si="7"/>
        <v/>
      </c>
      <c r="C47" s="472">
        <f>IF(D11="","-",+C46+1)</f>
        <v>2043</v>
      </c>
      <c r="D47" s="485">
        <f>IF(F46+SUM(E$17:E46)=D$10,F46,D$10-SUM(E$17:E46))</f>
        <v>259492.46994633295</v>
      </c>
      <c r="E47" s="484">
        <f t="shared" si="5"/>
        <v>24082.60465116279</v>
      </c>
      <c r="F47" s="485">
        <f t="shared" si="19"/>
        <v>235409.86529517017</v>
      </c>
      <c r="G47" s="486">
        <f t="shared" si="20"/>
        <v>52553.42915262725</v>
      </c>
      <c r="H47" s="455">
        <f t="shared" si="21"/>
        <v>52553.42915262725</v>
      </c>
      <c r="I47" s="475">
        <f t="shared" si="6"/>
        <v>0</v>
      </c>
      <c r="J47" s="475"/>
      <c r="K47" s="487"/>
      <c r="L47" s="478">
        <f t="shared" si="22"/>
        <v>0</v>
      </c>
      <c r="M47" s="487"/>
      <c r="N47" s="478">
        <f t="shared" si="11"/>
        <v>0</v>
      </c>
      <c r="O47" s="478">
        <f t="shared" si="12"/>
        <v>0</v>
      </c>
      <c r="P47" s="243"/>
    </row>
    <row r="48" spans="2:16">
      <c r="B48" s="160" t="str">
        <f t="shared" si="7"/>
        <v/>
      </c>
      <c r="C48" s="472">
        <f>IF(D11="","-",+C47+1)</f>
        <v>2044</v>
      </c>
      <c r="D48" s="485">
        <f>IF(F47+SUM(E$17:E47)=D$10,F47,D$10-SUM(E$17:E47))</f>
        <v>235409.86529517017</v>
      </c>
      <c r="E48" s="484">
        <f t="shared" si="5"/>
        <v>24082.60465116279</v>
      </c>
      <c r="F48" s="485">
        <f t="shared" si="19"/>
        <v>211327.26064400739</v>
      </c>
      <c r="G48" s="486">
        <f t="shared" si="20"/>
        <v>49782.572918025646</v>
      </c>
      <c r="H48" s="455">
        <f t="shared" si="21"/>
        <v>49782.572918025646</v>
      </c>
      <c r="I48" s="475">
        <f t="shared" si="6"/>
        <v>0</v>
      </c>
      <c r="J48" s="475"/>
      <c r="K48" s="487"/>
      <c r="L48" s="478">
        <f t="shared" si="22"/>
        <v>0</v>
      </c>
      <c r="M48" s="487"/>
      <c r="N48" s="478">
        <f t="shared" si="11"/>
        <v>0</v>
      </c>
      <c r="O48" s="478">
        <f t="shared" si="12"/>
        <v>0</v>
      </c>
      <c r="P48" s="243"/>
    </row>
    <row r="49" spans="2:16">
      <c r="B49" s="160" t="str">
        <f t="shared" si="7"/>
        <v/>
      </c>
      <c r="C49" s="472">
        <f>IF(D11="","-",+C48+1)</f>
        <v>2045</v>
      </c>
      <c r="D49" s="485">
        <f>IF(F48+SUM(E$17:E48)=D$10,F48,D$10-SUM(E$17:E48))</f>
        <v>211327.26064400739</v>
      </c>
      <c r="E49" s="484">
        <f t="shared" si="5"/>
        <v>24082.60465116279</v>
      </c>
      <c r="F49" s="485">
        <f t="shared" si="19"/>
        <v>187244.65599284461</v>
      </c>
      <c r="G49" s="486">
        <f t="shared" si="20"/>
        <v>47011.716683424034</v>
      </c>
      <c r="H49" s="455">
        <f t="shared" si="21"/>
        <v>47011.716683424034</v>
      </c>
      <c r="I49" s="475">
        <f t="shared" si="6"/>
        <v>0</v>
      </c>
      <c r="J49" s="475"/>
      <c r="K49" s="487"/>
      <c r="L49" s="478">
        <f t="shared" si="22"/>
        <v>0</v>
      </c>
      <c r="M49" s="487"/>
      <c r="N49" s="478">
        <f t="shared" si="11"/>
        <v>0</v>
      </c>
      <c r="O49" s="478">
        <f t="shared" si="12"/>
        <v>0</v>
      </c>
      <c r="P49" s="243"/>
    </row>
    <row r="50" spans="2:16">
      <c r="B50" s="160" t="str">
        <f t="shared" si="7"/>
        <v/>
      </c>
      <c r="C50" s="472">
        <f>IF(D11="","-",+C49+1)</f>
        <v>2046</v>
      </c>
      <c r="D50" s="485">
        <f>IF(F49+SUM(E$17:E49)=D$10,F49,D$10-SUM(E$17:E49))</f>
        <v>187244.65599284461</v>
      </c>
      <c r="E50" s="484">
        <f t="shared" si="5"/>
        <v>24082.60465116279</v>
      </c>
      <c r="F50" s="485">
        <f t="shared" si="19"/>
        <v>163162.05134168183</v>
      </c>
      <c r="G50" s="486">
        <f t="shared" si="20"/>
        <v>44240.860448822423</v>
      </c>
      <c r="H50" s="455">
        <f t="shared" si="21"/>
        <v>44240.860448822423</v>
      </c>
      <c r="I50" s="475">
        <f t="shared" si="6"/>
        <v>0</v>
      </c>
      <c r="J50" s="475"/>
      <c r="K50" s="487"/>
      <c r="L50" s="478">
        <f t="shared" si="22"/>
        <v>0</v>
      </c>
      <c r="M50" s="487"/>
      <c r="N50" s="478">
        <f t="shared" si="11"/>
        <v>0</v>
      </c>
      <c r="O50" s="478">
        <f t="shared" si="12"/>
        <v>0</v>
      </c>
      <c r="P50" s="243"/>
    </row>
    <row r="51" spans="2:16">
      <c r="B51" s="160" t="str">
        <f t="shared" si="7"/>
        <v/>
      </c>
      <c r="C51" s="472">
        <f>IF(D11="","-",+C50+1)</f>
        <v>2047</v>
      </c>
      <c r="D51" s="485">
        <f>IF(F50+SUM(E$17:E50)=D$10,F50,D$10-SUM(E$17:E50))</f>
        <v>163162.05134168183</v>
      </c>
      <c r="E51" s="484">
        <f t="shared" si="5"/>
        <v>24082.60465116279</v>
      </c>
      <c r="F51" s="485">
        <f t="shared" si="19"/>
        <v>139079.44669051905</v>
      </c>
      <c r="G51" s="486">
        <f t="shared" si="20"/>
        <v>41470.004214220811</v>
      </c>
      <c r="H51" s="455">
        <f t="shared" si="21"/>
        <v>41470.004214220811</v>
      </c>
      <c r="I51" s="475">
        <f t="shared" si="6"/>
        <v>0</v>
      </c>
      <c r="J51" s="475"/>
      <c r="K51" s="487"/>
      <c r="L51" s="478">
        <f t="shared" si="22"/>
        <v>0</v>
      </c>
      <c r="M51" s="487"/>
      <c r="N51" s="478">
        <f t="shared" si="11"/>
        <v>0</v>
      </c>
      <c r="O51" s="478">
        <f t="shared" si="12"/>
        <v>0</v>
      </c>
      <c r="P51" s="243"/>
    </row>
    <row r="52" spans="2:16">
      <c r="B52" s="160" t="str">
        <f t="shared" si="7"/>
        <v/>
      </c>
      <c r="C52" s="472">
        <f>IF(D11="","-",+C51+1)</f>
        <v>2048</v>
      </c>
      <c r="D52" s="485">
        <f>IF(F51+SUM(E$17:E51)=D$10,F51,D$10-SUM(E$17:E51))</f>
        <v>139079.44669051905</v>
      </c>
      <c r="E52" s="484">
        <f t="shared" si="5"/>
        <v>24082.60465116279</v>
      </c>
      <c r="F52" s="485">
        <f t="shared" si="19"/>
        <v>114996.84203935626</v>
      </c>
      <c r="G52" s="486">
        <f t="shared" si="20"/>
        <v>38699.147979619207</v>
      </c>
      <c r="H52" s="455">
        <f t="shared" si="21"/>
        <v>38699.147979619207</v>
      </c>
      <c r="I52" s="475">
        <f t="shared" si="6"/>
        <v>0</v>
      </c>
      <c r="J52" s="475"/>
      <c r="K52" s="487"/>
      <c r="L52" s="478">
        <f t="shared" si="22"/>
        <v>0</v>
      </c>
      <c r="M52" s="487"/>
      <c r="N52" s="478">
        <f t="shared" si="11"/>
        <v>0</v>
      </c>
      <c r="O52" s="478">
        <f t="shared" si="12"/>
        <v>0</v>
      </c>
      <c r="P52" s="243"/>
    </row>
    <row r="53" spans="2:16">
      <c r="B53" s="160" t="str">
        <f t="shared" si="7"/>
        <v/>
      </c>
      <c r="C53" s="472">
        <f>IF(D11="","-",+C52+1)</f>
        <v>2049</v>
      </c>
      <c r="D53" s="485">
        <f>IF(F52+SUM(E$17:E52)=D$10,F52,D$10-SUM(E$17:E52))</f>
        <v>114996.84203935626</v>
      </c>
      <c r="E53" s="484">
        <f t="shared" si="5"/>
        <v>24082.60465116279</v>
      </c>
      <c r="F53" s="485">
        <f t="shared" si="19"/>
        <v>90914.237388193462</v>
      </c>
      <c r="G53" s="486">
        <f t="shared" si="20"/>
        <v>35928.291745017596</v>
      </c>
      <c r="H53" s="455">
        <f t="shared" si="21"/>
        <v>35928.291745017596</v>
      </c>
      <c r="I53" s="475">
        <f t="shared" si="6"/>
        <v>0</v>
      </c>
      <c r="J53" s="475"/>
      <c r="K53" s="487"/>
      <c r="L53" s="478">
        <f t="shared" si="22"/>
        <v>0</v>
      </c>
      <c r="M53" s="487"/>
      <c r="N53" s="478">
        <f t="shared" si="11"/>
        <v>0</v>
      </c>
      <c r="O53" s="478">
        <f t="shared" si="12"/>
        <v>0</v>
      </c>
      <c r="P53" s="243"/>
    </row>
    <row r="54" spans="2:16">
      <c r="B54" s="160" t="str">
        <f t="shared" si="7"/>
        <v/>
      </c>
      <c r="C54" s="472">
        <f>IF(D11="","-",+C53+1)</f>
        <v>2050</v>
      </c>
      <c r="D54" s="485">
        <f>IF(F53+SUM(E$17:E53)=D$10,F53,D$10-SUM(E$17:E53))</f>
        <v>90914.237388193462</v>
      </c>
      <c r="E54" s="484">
        <f t="shared" si="5"/>
        <v>24082.60465116279</v>
      </c>
      <c r="F54" s="485">
        <f t="shared" si="19"/>
        <v>66831.632737030668</v>
      </c>
      <c r="G54" s="486">
        <f t="shared" si="20"/>
        <v>33157.435510415984</v>
      </c>
      <c r="H54" s="455">
        <f t="shared" si="21"/>
        <v>33157.435510415984</v>
      </c>
      <c r="I54" s="475">
        <f t="shared" si="6"/>
        <v>0</v>
      </c>
      <c r="J54" s="475"/>
      <c r="K54" s="487"/>
      <c r="L54" s="478">
        <f t="shared" si="22"/>
        <v>0</v>
      </c>
      <c r="M54" s="487"/>
      <c r="N54" s="478">
        <f t="shared" si="11"/>
        <v>0</v>
      </c>
      <c r="O54" s="478">
        <f t="shared" si="12"/>
        <v>0</v>
      </c>
      <c r="P54" s="243"/>
    </row>
    <row r="55" spans="2:16">
      <c r="B55" s="160" t="str">
        <f t="shared" si="7"/>
        <v/>
      </c>
      <c r="C55" s="472">
        <f>IF(D11="","-",+C54+1)</f>
        <v>2051</v>
      </c>
      <c r="D55" s="485">
        <f>IF(F54+SUM(E$17:E54)=D$10,F54,D$10-SUM(E$17:E54))</f>
        <v>66831.632737030668</v>
      </c>
      <c r="E55" s="484">
        <f t="shared" si="5"/>
        <v>24082.60465116279</v>
      </c>
      <c r="F55" s="485">
        <f t="shared" si="19"/>
        <v>42749.028085867874</v>
      </c>
      <c r="G55" s="486">
        <f t="shared" si="20"/>
        <v>30386.579275814373</v>
      </c>
      <c r="H55" s="455">
        <f t="shared" si="21"/>
        <v>30386.579275814373</v>
      </c>
      <c r="I55" s="475">
        <f t="shared" si="6"/>
        <v>0</v>
      </c>
      <c r="J55" s="475"/>
      <c r="K55" s="487"/>
      <c r="L55" s="478">
        <f t="shared" si="22"/>
        <v>0</v>
      </c>
      <c r="M55" s="487"/>
      <c r="N55" s="478">
        <f t="shared" si="11"/>
        <v>0</v>
      </c>
      <c r="O55" s="478">
        <f t="shared" si="12"/>
        <v>0</v>
      </c>
      <c r="P55" s="243"/>
    </row>
    <row r="56" spans="2:16">
      <c r="B56" s="160" t="str">
        <f t="shared" si="7"/>
        <v/>
      </c>
      <c r="C56" s="472">
        <f>IF(D11="","-",+C55+1)</f>
        <v>2052</v>
      </c>
      <c r="D56" s="485">
        <f>IF(F55+SUM(E$17:E55)=D$10,F55,D$10-SUM(E$17:E55))</f>
        <v>42749.028085867874</v>
      </c>
      <c r="E56" s="484">
        <f t="shared" si="5"/>
        <v>24082.60465116279</v>
      </c>
      <c r="F56" s="485">
        <f t="shared" si="19"/>
        <v>18666.423434705084</v>
      </c>
      <c r="G56" s="486">
        <f t="shared" si="20"/>
        <v>27615.723041212761</v>
      </c>
      <c r="H56" s="455">
        <f t="shared" si="21"/>
        <v>27615.723041212761</v>
      </c>
      <c r="I56" s="475">
        <f t="shared" si="6"/>
        <v>0</v>
      </c>
      <c r="J56" s="475"/>
      <c r="K56" s="487"/>
      <c r="L56" s="478">
        <f t="shared" si="22"/>
        <v>0</v>
      </c>
      <c r="M56" s="487"/>
      <c r="N56" s="478">
        <f t="shared" si="11"/>
        <v>0</v>
      </c>
      <c r="O56" s="478">
        <f t="shared" si="12"/>
        <v>0</v>
      </c>
      <c r="P56" s="243"/>
    </row>
    <row r="57" spans="2:16">
      <c r="B57" s="160" t="str">
        <f t="shared" si="7"/>
        <v/>
      </c>
      <c r="C57" s="472">
        <f>IF(D11="","-",+C56+1)</f>
        <v>2053</v>
      </c>
      <c r="D57" s="485">
        <f>IF(F56+SUM(E$17:E56)=D$10,F56,D$10-SUM(E$17:E56))</f>
        <v>18666.423434705084</v>
      </c>
      <c r="E57" s="484">
        <f t="shared" si="5"/>
        <v>18666.423434705084</v>
      </c>
      <c r="F57" s="485">
        <f t="shared" si="19"/>
        <v>0</v>
      </c>
      <c r="G57" s="486">
        <f t="shared" si="20"/>
        <v>19740.268571079669</v>
      </c>
      <c r="H57" s="455">
        <f t="shared" si="21"/>
        <v>19740.268571079669</v>
      </c>
      <c r="I57" s="475">
        <f t="shared" si="6"/>
        <v>0</v>
      </c>
      <c r="J57" s="475"/>
      <c r="K57" s="487"/>
      <c r="L57" s="478">
        <f t="shared" si="22"/>
        <v>0</v>
      </c>
      <c r="M57" s="487"/>
      <c r="N57" s="478">
        <f t="shared" si="11"/>
        <v>0</v>
      </c>
      <c r="O57" s="478">
        <f t="shared" si="12"/>
        <v>0</v>
      </c>
      <c r="P57" s="243"/>
    </row>
    <row r="58" spans="2:16">
      <c r="B58" s="160" t="str">
        <f t="shared" si="7"/>
        <v/>
      </c>
      <c r="C58" s="472">
        <f>IF(D11="","-",+C57+1)</f>
        <v>2054</v>
      </c>
      <c r="D58" s="485">
        <f>IF(F57+SUM(E$17:E57)=D$10,F57,D$10-SUM(E$17:E57))</f>
        <v>0</v>
      </c>
      <c r="E58" s="484">
        <f t="shared" si="5"/>
        <v>0</v>
      </c>
      <c r="F58" s="485">
        <f t="shared" si="19"/>
        <v>0</v>
      </c>
      <c r="G58" s="486">
        <f t="shared" si="20"/>
        <v>0</v>
      </c>
      <c r="H58" s="455">
        <f t="shared" si="21"/>
        <v>0</v>
      </c>
      <c r="I58" s="475">
        <f t="shared" si="6"/>
        <v>0</v>
      </c>
      <c r="J58" s="475"/>
      <c r="K58" s="487"/>
      <c r="L58" s="478">
        <f t="shared" si="22"/>
        <v>0</v>
      </c>
      <c r="M58" s="487"/>
      <c r="N58" s="478">
        <f t="shared" si="11"/>
        <v>0</v>
      </c>
      <c r="O58" s="478">
        <f t="shared" si="12"/>
        <v>0</v>
      </c>
      <c r="P58" s="243"/>
    </row>
    <row r="59" spans="2:16">
      <c r="B59" s="160" t="str">
        <f t="shared" si="7"/>
        <v/>
      </c>
      <c r="C59" s="472">
        <f>IF(D11="","-",+C58+1)</f>
        <v>2055</v>
      </c>
      <c r="D59" s="485">
        <f>IF(F58+SUM(E$17:E58)=D$10,F58,D$10-SUM(E$17:E58))</f>
        <v>0</v>
      </c>
      <c r="E59" s="484">
        <f t="shared" si="5"/>
        <v>0</v>
      </c>
      <c r="F59" s="485">
        <f t="shared" si="19"/>
        <v>0</v>
      </c>
      <c r="G59" s="486">
        <f t="shared" si="20"/>
        <v>0</v>
      </c>
      <c r="H59" s="455">
        <f t="shared" si="21"/>
        <v>0</v>
      </c>
      <c r="I59" s="475">
        <f t="shared" si="6"/>
        <v>0</v>
      </c>
      <c r="J59" s="475"/>
      <c r="K59" s="487"/>
      <c r="L59" s="478">
        <f t="shared" si="22"/>
        <v>0</v>
      </c>
      <c r="M59" s="487"/>
      <c r="N59" s="478">
        <f t="shared" si="11"/>
        <v>0</v>
      </c>
      <c r="O59" s="478">
        <f t="shared" si="12"/>
        <v>0</v>
      </c>
      <c r="P59" s="243"/>
    </row>
    <row r="60" spans="2:16">
      <c r="B60" s="160" t="str">
        <f t="shared" si="7"/>
        <v/>
      </c>
      <c r="C60" s="472">
        <f>IF(D11="","-",+C59+1)</f>
        <v>2056</v>
      </c>
      <c r="D60" s="485">
        <f>IF(F59+SUM(E$17:E59)=D$10,F59,D$10-SUM(E$17:E59))</f>
        <v>0</v>
      </c>
      <c r="E60" s="484">
        <f t="shared" si="5"/>
        <v>0</v>
      </c>
      <c r="F60" s="485">
        <f t="shared" si="19"/>
        <v>0</v>
      </c>
      <c r="G60" s="486">
        <f t="shared" si="20"/>
        <v>0</v>
      </c>
      <c r="H60" s="455">
        <f t="shared" si="21"/>
        <v>0</v>
      </c>
      <c r="I60" s="475">
        <f t="shared" si="6"/>
        <v>0</v>
      </c>
      <c r="J60" s="475"/>
      <c r="K60" s="487"/>
      <c r="L60" s="478">
        <f t="shared" si="22"/>
        <v>0</v>
      </c>
      <c r="M60" s="487"/>
      <c r="N60" s="478">
        <f t="shared" si="11"/>
        <v>0</v>
      </c>
      <c r="O60" s="478">
        <f t="shared" si="12"/>
        <v>0</v>
      </c>
      <c r="P60" s="243"/>
    </row>
    <row r="61" spans="2:16">
      <c r="B61" s="160" t="str">
        <f t="shared" si="7"/>
        <v/>
      </c>
      <c r="C61" s="472">
        <f>IF(D11="","-",+C60+1)</f>
        <v>2057</v>
      </c>
      <c r="D61" s="485">
        <f>IF(F60+SUM(E$17:E60)=D$10,F60,D$10-SUM(E$17:E60))</f>
        <v>0</v>
      </c>
      <c r="E61" s="484">
        <f t="shared" si="5"/>
        <v>0</v>
      </c>
      <c r="F61" s="485">
        <f t="shared" si="19"/>
        <v>0</v>
      </c>
      <c r="G61" s="486">
        <f t="shared" si="20"/>
        <v>0</v>
      </c>
      <c r="H61" s="455">
        <f t="shared" si="21"/>
        <v>0</v>
      </c>
      <c r="I61" s="475">
        <f t="shared" si="6"/>
        <v>0</v>
      </c>
      <c r="J61" s="475"/>
      <c r="K61" s="487"/>
      <c r="L61" s="478">
        <f t="shared" si="22"/>
        <v>0</v>
      </c>
      <c r="M61" s="487"/>
      <c r="N61" s="478">
        <f t="shared" si="11"/>
        <v>0</v>
      </c>
      <c r="O61" s="478">
        <f t="shared" si="12"/>
        <v>0</v>
      </c>
      <c r="P61" s="243"/>
    </row>
    <row r="62" spans="2:16">
      <c r="B62" s="160" t="str">
        <f t="shared" si="7"/>
        <v/>
      </c>
      <c r="C62" s="472">
        <f>IF(D11="","-",+C61+1)</f>
        <v>2058</v>
      </c>
      <c r="D62" s="485">
        <f>IF(F61+SUM(E$17:E61)=D$10,F61,D$10-SUM(E$17:E61))</f>
        <v>0</v>
      </c>
      <c r="E62" s="484">
        <f t="shared" si="5"/>
        <v>0</v>
      </c>
      <c r="F62" s="485">
        <f t="shared" si="19"/>
        <v>0</v>
      </c>
      <c r="G62" s="486">
        <f t="shared" si="20"/>
        <v>0</v>
      </c>
      <c r="H62" s="455">
        <f t="shared" si="21"/>
        <v>0</v>
      </c>
      <c r="I62" s="475">
        <f t="shared" si="6"/>
        <v>0</v>
      </c>
      <c r="J62" s="475"/>
      <c r="K62" s="487"/>
      <c r="L62" s="478">
        <f t="shared" si="22"/>
        <v>0</v>
      </c>
      <c r="M62" s="487"/>
      <c r="N62" s="478">
        <f t="shared" si="11"/>
        <v>0</v>
      </c>
      <c r="O62" s="478">
        <f t="shared" si="12"/>
        <v>0</v>
      </c>
      <c r="P62" s="243"/>
    </row>
    <row r="63" spans="2:16">
      <c r="B63" s="160" t="str">
        <f t="shared" si="7"/>
        <v/>
      </c>
      <c r="C63" s="472">
        <f>IF(D11="","-",+C62+1)</f>
        <v>2059</v>
      </c>
      <c r="D63" s="485">
        <f>IF(F62+SUM(E$17:E62)=D$10,F62,D$10-SUM(E$17:E62))</f>
        <v>0</v>
      </c>
      <c r="E63" s="484">
        <f t="shared" si="5"/>
        <v>0</v>
      </c>
      <c r="F63" s="485">
        <f t="shared" si="19"/>
        <v>0</v>
      </c>
      <c r="G63" s="486">
        <f t="shared" si="20"/>
        <v>0</v>
      </c>
      <c r="H63" s="455">
        <f t="shared" si="21"/>
        <v>0</v>
      </c>
      <c r="I63" s="475">
        <f t="shared" si="6"/>
        <v>0</v>
      </c>
      <c r="J63" s="475"/>
      <c r="K63" s="487"/>
      <c r="L63" s="478">
        <f t="shared" si="22"/>
        <v>0</v>
      </c>
      <c r="M63" s="487"/>
      <c r="N63" s="478">
        <f t="shared" si="11"/>
        <v>0</v>
      </c>
      <c r="O63" s="478">
        <f t="shared" si="12"/>
        <v>0</v>
      </c>
      <c r="P63" s="243"/>
    </row>
    <row r="64" spans="2:16">
      <c r="B64" s="160" t="str">
        <f t="shared" si="7"/>
        <v/>
      </c>
      <c r="C64" s="472">
        <f>IF(D11="","-",+C63+1)</f>
        <v>2060</v>
      </c>
      <c r="D64" s="485">
        <f>IF(F63+SUM(E$17:E63)=D$10,F63,D$10-SUM(E$17:E63))</f>
        <v>0</v>
      </c>
      <c r="E64" s="484">
        <f t="shared" si="5"/>
        <v>0</v>
      </c>
      <c r="F64" s="485">
        <f t="shared" si="19"/>
        <v>0</v>
      </c>
      <c r="G64" s="486">
        <f t="shared" si="20"/>
        <v>0</v>
      </c>
      <c r="H64" s="455">
        <f t="shared" si="21"/>
        <v>0</v>
      </c>
      <c r="I64" s="475">
        <f t="shared" si="6"/>
        <v>0</v>
      </c>
      <c r="J64" s="475"/>
      <c r="K64" s="487"/>
      <c r="L64" s="478">
        <f t="shared" si="22"/>
        <v>0</v>
      </c>
      <c r="M64" s="487"/>
      <c r="N64" s="478">
        <f t="shared" si="11"/>
        <v>0</v>
      </c>
      <c r="O64" s="478">
        <f t="shared" si="12"/>
        <v>0</v>
      </c>
      <c r="P64" s="243"/>
    </row>
    <row r="65" spans="2:16">
      <c r="B65" s="160" t="str">
        <f t="shared" si="7"/>
        <v/>
      </c>
      <c r="C65" s="472">
        <f>IF(D11="","-",+C64+1)</f>
        <v>2061</v>
      </c>
      <c r="D65" s="485">
        <f>IF(F64+SUM(E$17:E64)=D$10,F64,D$10-SUM(E$17:E64))</f>
        <v>0</v>
      </c>
      <c r="E65" s="484">
        <f t="shared" si="5"/>
        <v>0</v>
      </c>
      <c r="F65" s="485">
        <f t="shared" si="19"/>
        <v>0</v>
      </c>
      <c r="G65" s="486">
        <f t="shared" si="20"/>
        <v>0</v>
      </c>
      <c r="H65" s="455">
        <f t="shared" si="21"/>
        <v>0</v>
      </c>
      <c r="I65" s="475">
        <f t="shared" si="6"/>
        <v>0</v>
      </c>
      <c r="J65" s="475"/>
      <c r="K65" s="487"/>
      <c r="L65" s="478">
        <f t="shared" si="22"/>
        <v>0</v>
      </c>
      <c r="M65" s="487"/>
      <c r="N65" s="478">
        <f t="shared" si="11"/>
        <v>0</v>
      </c>
      <c r="O65" s="478">
        <f t="shared" si="12"/>
        <v>0</v>
      </c>
      <c r="P65" s="243"/>
    </row>
    <row r="66" spans="2:16">
      <c r="B66" s="160" t="str">
        <f t="shared" si="7"/>
        <v/>
      </c>
      <c r="C66" s="472">
        <f>IF(D11="","-",+C65+1)</f>
        <v>2062</v>
      </c>
      <c r="D66" s="485">
        <f>IF(F65+SUM(E$17:E65)=D$10,F65,D$10-SUM(E$17:E65))</f>
        <v>0</v>
      </c>
      <c r="E66" s="484">
        <f t="shared" si="5"/>
        <v>0</v>
      </c>
      <c r="F66" s="485">
        <f t="shared" si="19"/>
        <v>0</v>
      </c>
      <c r="G66" s="486">
        <f t="shared" si="20"/>
        <v>0</v>
      </c>
      <c r="H66" s="455">
        <f t="shared" si="21"/>
        <v>0</v>
      </c>
      <c r="I66" s="475">
        <f t="shared" si="6"/>
        <v>0</v>
      </c>
      <c r="J66" s="475"/>
      <c r="K66" s="487"/>
      <c r="L66" s="478">
        <f t="shared" si="22"/>
        <v>0</v>
      </c>
      <c r="M66" s="487"/>
      <c r="N66" s="478">
        <f t="shared" si="11"/>
        <v>0</v>
      </c>
      <c r="O66" s="478">
        <f t="shared" si="12"/>
        <v>0</v>
      </c>
      <c r="P66" s="243"/>
    </row>
    <row r="67" spans="2:16">
      <c r="B67" s="160" t="str">
        <f t="shared" si="7"/>
        <v/>
      </c>
      <c r="C67" s="472">
        <f>IF(D11="","-",+C66+1)</f>
        <v>2063</v>
      </c>
      <c r="D67" s="485">
        <f>IF(F66+SUM(E$17:E66)=D$10,F66,D$10-SUM(E$17:E66))</f>
        <v>0</v>
      </c>
      <c r="E67" s="484">
        <f t="shared" si="5"/>
        <v>0</v>
      </c>
      <c r="F67" s="485">
        <f t="shared" si="19"/>
        <v>0</v>
      </c>
      <c r="G67" s="486">
        <f t="shared" si="20"/>
        <v>0</v>
      </c>
      <c r="H67" s="455">
        <f t="shared" si="21"/>
        <v>0</v>
      </c>
      <c r="I67" s="475">
        <f t="shared" si="6"/>
        <v>0</v>
      </c>
      <c r="J67" s="475"/>
      <c r="K67" s="487"/>
      <c r="L67" s="478">
        <f t="shared" si="22"/>
        <v>0</v>
      </c>
      <c r="M67" s="487"/>
      <c r="N67" s="478">
        <f t="shared" si="11"/>
        <v>0</v>
      </c>
      <c r="O67" s="478">
        <f t="shared" si="12"/>
        <v>0</v>
      </c>
      <c r="P67" s="243"/>
    </row>
    <row r="68" spans="2:16">
      <c r="B68" s="160" t="str">
        <f t="shared" si="7"/>
        <v/>
      </c>
      <c r="C68" s="472">
        <f>IF(D11="","-",+C67+1)</f>
        <v>2064</v>
      </c>
      <c r="D68" s="485">
        <f>IF(F67+SUM(E$17:E67)=D$10,F67,D$10-SUM(E$17:E67))</f>
        <v>0</v>
      </c>
      <c r="E68" s="484">
        <f t="shared" si="5"/>
        <v>0</v>
      </c>
      <c r="F68" s="485">
        <f t="shared" si="19"/>
        <v>0</v>
      </c>
      <c r="G68" s="486">
        <f t="shared" si="20"/>
        <v>0</v>
      </c>
      <c r="H68" s="455">
        <f t="shared" si="21"/>
        <v>0</v>
      </c>
      <c r="I68" s="475">
        <f t="shared" si="6"/>
        <v>0</v>
      </c>
      <c r="J68" s="475"/>
      <c r="K68" s="487"/>
      <c r="L68" s="478">
        <f t="shared" si="22"/>
        <v>0</v>
      </c>
      <c r="M68" s="487"/>
      <c r="N68" s="478">
        <f t="shared" si="11"/>
        <v>0</v>
      </c>
      <c r="O68" s="478">
        <f t="shared" si="12"/>
        <v>0</v>
      </c>
      <c r="P68" s="243"/>
    </row>
    <row r="69" spans="2:16">
      <c r="B69" s="160" t="str">
        <f t="shared" si="7"/>
        <v/>
      </c>
      <c r="C69" s="472">
        <f>IF(D11="","-",+C68+1)</f>
        <v>2065</v>
      </c>
      <c r="D69" s="485">
        <f>IF(F68+SUM(E$17:E68)=D$10,F68,D$10-SUM(E$17:E68))</f>
        <v>0</v>
      </c>
      <c r="E69" s="484">
        <f t="shared" si="5"/>
        <v>0</v>
      </c>
      <c r="F69" s="485">
        <f t="shared" si="19"/>
        <v>0</v>
      </c>
      <c r="G69" s="486">
        <f t="shared" si="20"/>
        <v>0</v>
      </c>
      <c r="H69" s="455">
        <f t="shared" si="21"/>
        <v>0</v>
      </c>
      <c r="I69" s="475">
        <f t="shared" si="6"/>
        <v>0</v>
      </c>
      <c r="J69" s="475"/>
      <c r="K69" s="487"/>
      <c r="L69" s="478">
        <f t="shared" si="22"/>
        <v>0</v>
      </c>
      <c r="M69" s="487"/>
      <c r="N69" s="478">
        <f t="shared" si="11"/>
        <v>0</v>
      </c>
      <c r="O69" s="478">
        <f t="shared" si="12"/>
        <v>0</v>
      </c>
      <c r="P69" s="243"/>
    </row>
    <row r="70" spans="2:16">
      <c r="B70" s="160" t="str">
        <f t="shared" si="7"/>
        <v/>
      </c>
      <c r="C70" s="472">
        <f>IF(D11="","-",+C69+1)</f>
        <v>2066</v>
      </c>
      <c r="D70" s="485">
        <f>IF(F69+SUM(E$17:E69)=D$10,F69,D$10-SUM(E$17:E69))</f>
        <v>0</v>
      </c>
      <c r="E70" s="484">
        <f t="shared" si="5"/>
        <v>0</v>
      </c>
      <c r="F70" s="485">
        <f t="shared" si="19"/>
        <v>0</v>
      </c>
      <c r="G70" s="486">
        <f t="shared" si="20"/>
        <v>0</v>
      </c>
      <c r="H70" s="455">
        <f t="shared" si="21"/>
        <v>0</v>
      </c>
      <c r="I70" s="475">
        <f t="shared" si="6"/>
        <v>0</v>
      </c>
      <c r="J70" s="475"/>
      <c r="K70" s="487"/>
      <c r="L70" s="478">
        <f t="shared" si="22"/>
        <v>0</v>
      </c>
      <c r="M70" s="487"/>
      <c r="N70" s="478">
        <f t="shared" si="11"/>
        <v>0</v>
      </c>
      <c r="O70" s="478">
        <f t="shared" si="12"/>
        <v>0</v>
      </c>
      <c r="P70" s="243"/>
    </row>
    <row r="71" spans="2:16">
      <c r="B71" s="160" t="str">
        <f t="shared" si="7"/>
        <v/>
      </c>
      <c r="C71" s="472">
        <f>IF(D11="","-",+C70+1)</f>
        <v>2067</v>
      </c>
      <c r="D71" s="485">
        <f>IF(F70+SUM(E$17:E70)=D$10,F70,D$10-SUM(E$17:E70))</f>
        <v>0</v>
      </c>
      <c r="E71" s="484">
        <f t="shared" si="5"/>
        <v>0</v>
      </c>
      <c r="F71" s="485">
        <f t="shared" si="19"/>
        <v>0</v>
      </c>
      <c r="G71" s="486">
        <f t="shared" si="20"/>
        <v>0</v>
      </c>
      <c r="H71" s="455">
        <f t="shared" si="21"/>
        <v>0</v>
      </c>
      <c r="I71" s="475">
        <f t="shared" si="6"/>
        <v>0</v>
      </c>
      <c r="J71" s="475"/>
      <c r="K71" s="487"/>
      <c r="L71" s="478">
        <f t="shared" si="22"/>
        <v>0</v>
      </c>
      <c r="M71" s="487"/>
      <c r="N71" s="478">
        <f t="shared" si="11"/>
        <v>0</v>
      </c>
      <c r="O71" s="478">
        <f t="shared" si="12"/>
        <v>0</v>
      </c>
      <c r="P71" s="243"/>
    </row>
    <row r="72" spans="2:16" ht="13.5" thickBot="1">
      <c r="B72" s="160" t="str">
        <f t="shared" si="7"/>
        <v/>
      </c>
      <c r="C72" s="489">
        <f>IF(D11="","-",+C71+1)</f>
        <v>2068</v>
      </c>
      <c r="D72" s="490">
        <f>IF(F71+SUM(E$17:E71)=D$10,F71,D$10-SUM(E$17:E71))</f>
        <v>0</v>
      </c>
      <c r="E72" s="491">
        <f t="shared" si="5"/>
        <v>0</v>
      </c>
      <c r="F72" s="490">
        <f t="shared" si="19"/>
        <v>0</v>
      </c>
      <c r="G72" s="490">
        <f t="shared" si="20"/>
        <v>0</v>
      </c>
      <c r="H72" s="490">
        <f t="shared" si="21"/>
        <v>0</v>
      </c>
      <c r="I72" s="495">
        <f t="shared" si="6"/>
        <v>0</v>
      </c>
      <c r="J72" s="490"/>
      <c r="K72" s="494"/>
      <c r="L72" s="495">
        <f t="shared" si="22"/>
        <v>0</v>
      </c>
      <c r="M72" s="494"/>
      <c r="N72" s="495">
        <f t="shared" si="11"/>
        <v>0</v>
      </c>
      <c r="O72" s="495">
        <f t="shared" si="12"/>
        <v>0</v>
      </c>
      <c r="P72" s="243"/>
    </row>
    <row r="73" spans="2:16">
      <c r="C73" s="347" t="s">
        <v>77</v>
      </c>
      <c r="D73" s="348"/>
      <c r="E73" s="348">
        <f>SUM(E17:E72)</f>
        <v>1035551.9999999997</v>
      </c>
      <c r="F73" s="348"/>
      <c r="G73" s="348">
        <f>SUM(G17:G72)</f>
        <v>5330463.8046038225</v>
      </c>
      <c r="H73" s="348">
        <f>SUM(H17:H72)</f>
        <v>5330463.8046038225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14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106280.60465116279</v>
      </c>
      <c r="N87" s="508">
        <f>IF(J92&lt;D11,0,VLOOKUP(J92,C17:O72,11))</f>
        <v>106280.60465116279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121759.37640510849</v>
      </c>
      <c r="N88" s="512">
        <f>IF(J92&lt;D11,0,VLOOKUP(J92,C99:P154,7))</f>
        <v>121759.37640510849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Ashdown West - Craig Junction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15478.771753945693</v>
      </c>
      <c r="N89" s="517">
        <f>+N88-N87</f>
        <v>15478.771753945693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TP2009092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f>+D10</f>
        <v>1035552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604" t="s">
        <v>271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+D12</f>
        <v>2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25257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 t="str">
        <f>IF(D93= "","-",D93)</f>
        <v>2013</v>
      </c>
      <c r="D99" s="584">
        <v>0</v>
      </c>
      <c r="E99" s="585">
        <v>16595</v>
      </c>
      <c r="F99" s="586">
        <v>1018741</v>
      </c>
      <c r="G99" s="605">
        <v>509371</v>
      </c>
      <c r="H99" s="606">
        <v>89910</v>
      </c>
      <c r="I99" s="607">
        <v>89910</v>
      </c>
      <c r="J99" s="478">
        <v>0</v>
      </c>
      <c r="K99" s="478"/>
      <c r="L99" s="476">
        <f t="shared" ref="L99:L104" si="23">H99</f>
        <v>89910</v>
      </c>
      <c r="M99" s="349">
        <f t="shared" ref="M99:M104" si="24">IF(L99&lt;&gt;0,+H99-L99,0)</f>
        <v>0</v>
      </c>
      <c r="N99" s="476">
        <f t="shared" ref="N99:N104" si="25">I99</f>
        <v>89910</v>
      </c>
      <c r="O99" s="475">
        <f t="shared" ref="O99:O104" si="26">IF(N99&lt;&gt;0,+I99-N99,0)</f>
        <v>0</v>
      </c>
      <c r="P99" s="478">
        <f t="shared" ref="P99:P104" si="27">+O99-M99</f>
        <v>0</v>
      </c>
    </row>
    <row r="100" spans="1:16">
      <c r="B100" s="160" t="str">
        <f>IF(D100=F99,"","IU")</f>
        <v>IU</v>
      </c>
      <c r="C100" s="472">
        <f>IF(D93="","-",+C99+1)</f>
        <v>2014</v>
      </c>
      <c r="D100" s="584">
        <v>1018957</v>
      </c>
      <c r="E100" s="585">
        <v>19914</v>
      </c>
      <c r="F100" s="586">
        <v>999043</v>
      </c>
      <c r="G100" s="586">
        <v>1009000</v>
      </c>
      <c r="H100" s="585">
        <v>161775</v>
      </c>
      <c r="I100" s="587">
        <v>161775</v>
      </c>
      <c r="J100" s="478">
        <f>+I100-H100</f>
        <v>0</v>
      </c>
      <c r="K100" s="478"/>
      <c r="L100" s="476">
        <f t="shared" si="23"/>
        <v>161775</v>
      </c>
      <c r="M100" s="349">
        <f t="shared" si="24"/>
        <v>0</v>
      </c>
      <c r="N100" s="476">
        <f t="shared" si="25"/>
        <v>161775</v>
      </c>
      <c r="O100" s="475">
        <f t="shared" si="26"/>
        <v>0</v>
      </c>
      <c r="P100" s="478">
        <f t="shared" si="27"/>
        <v>0</v>
      </c>
    </row>
    <row r="101" spans="1:16">
      <c r="B101" s="160" t="str">
        <f t="shared" ref="B101:B154" si="28">IF(D101=F100,"","IU")</f>
        <v/>
      </c>
      <c r="C101" s="472">
        <f>IF(D93="","-",+C100+1)</f>
        <v>2015</v>
      </c>
      <c r="D101" s="584">
        <v>999043</v>
      </c>
      <c r="E101" s="585">
        <v>19914</v>
      </c>
      <c r="F101" s="586">
        <v>979129</v>
      </c>
      <c r="G101" s="586">
        <v>989086</v>
      </c>
      <c r="H101" s="585">
        <v>154866.83205665913</v>
      </c>
      <c r="I101" s="587">
        <v>154866.83205665913</v>
      </c>
      <c r="J101" s="478">
        <f>+I101-H101</f>
        <v>0</v>
      </c>
      <c r="K101" s="478"/>
      <c r="L101" s="476">
        <f t="shared" si="23"/>
        <v>154866.83205665913</v>
      </c>
      <c r="M101" s="349">
        <f t="shared" si="24"/>
        <v>0</v>
      </c>
      <c r="N101" s="476">
        <f t="shared" si="25"/>
        <v>154866.83205665913</v>
      </c>
      <c r="O101" s="475">
        <f t="shared" si="26"/>
        <v>0</v>
      </c>
      <c r="P101" s="478">
        <f t="shared" si="27"/>
        <v>0</v>
      </c>
    </row>
    <row r="102" spans="1:16">
      <c r="B102" s="160" t="str">
        <f t="shared" si="28"/>
        <v/>
      </c>
      <c r="C102" s="472">
        <f>IF(D93="","-",+C101+1)</f>
        <v>2016</v>
      </c>
      <c r="D102" s="584">
        <v>979129</v>
      </c>
      <c r="E102" s="585">
        <v>22512</v>
      </c>
      <c r="F102" s="586">
        <v>956617</v>
      </c>
      <c r="G102" s="586">
        <v>967873</v>
      </c>
      <c r="H102" s="585">
        <v>147286.07261026395</v>
      </c>
      <c r="I102" s="587">
        <v>147286.07261026395</v>
      </c>
      <c r="J102" s="478">
        <f t="shared" ref="J102:J154" si="29">+I102-H102</f>
        <v>0</v>
      </c>
      <c r="K102" s="478"/>
      <c r="L102" s="476">
        <f t="shared" si="23"/>
        <v>147286.07261026395</v>
      </c>
      <c r="M102" s="349">
        <f t="shared" si="24"/>
        <v>0</v>
      </c>
      <c r="N102" s="476">
        <f t="shared" si="25"/>
        <v>147286.07261026395</v>
      </c>
      <c r="O102" s="475">
        <f t="shared" si="26"/>
        <v>0</v>
      </c>
      <c r="P102" s="478">
        <f t="shared" si="27"/>
        <v>0</v>
      </c>
    </row>
    <row r="103" spans="1:16">
      <c r="B103" s="160" t="str">
        <f t="shared" si="28"/>
        <v/>
      </c>
      <c r="C103" s="472">
        <f>IF(D93="","-",+C102+1)</f>
        <v>2017</v>
      </c>
      <c r="D103" s="584">
        <v>956617</v>
      </c>
      <c r="E103" s="585">
        <v>22512</v>
      </c>
      <c r="F103" s="586">
        <v>934105</v>
      </c>
      <c r="G103" s="586">
        <v>945361</v>
      </c>
      <c r="H103" s="585">
        <v>142433.42657860837</v>
      </c>
      <c r="I103" s="587">
        <v>142433.42657860837</v>
      </c>
      <c r="J103" s="478">
        <f t="shared" si="29"/>
        <v>0</v>
      </c>
      <c r="K103" s="478"/>
      <c r="L103" s="476">
        <f t="shared" si="23"/>
        <v>142433.42657860837</v>
      </c>
      <c r="M103" s="349">
        <f t="shared" si="24"/>
        <v>0</v>
      </c>
      <c r="N103" s="476">
        <f t="shared" si="25"/>
        <v>142433.42657860837</v>
      </c>
      <c r="O103" s="475">
        <f t="shared" si="26"/>
        <v>0</v>
      </c>
      <c r="P103" s="478">
        <f t="shared" si="27"/>
        <v>0</v>
      </c>
    </row>
    <row r="104" spans="1:16">
      <c r="B104" s="160" t="str">
        <f t="shared" si="28"/>
        <v/>
      </c>
      <c r="C104" s="472">
        <f>IF(D93="","-",+C103+1)</f>
        <v>2018</v>
      </c>
      <c r="D104" s="584">
        <v>934105</v>
      </c>
      <c r="E104" s="585">
        <v>24083</v>
      </c>
      <c r="F104" s="586">
        <v>910022</v>
      </c>
      <c r="G104" s="586">
        <v>922063.5</v>
      </c>
      <c r="H104" s="585">
        <v>118811.71632291189</v>
      </c>
      <c r="I104" s="587">
        <v>118811.71632291189</v>
      </c>
      <c r="J104" s="478">
        <f t="shared" si="29"/>
        <v>0</v>
      </c>
      <c r="K104" s="478"/>
      <c r="L104" s="476">
        <f t="shared" si="23"/>
        <v>118811.71632291189</v>
      </c>
      <c r="M104" s="349">
        <f t="shared" si="24"/>
        <v>0</v>
      </c>
      <c r="N104" s="476">
        <f t="shared" si="25"/>
        <v>118811.71632291189</v>
      </c>
      <c r="O104" s="475">
        <f t="shared" si="26"/>
        <v>0</v>
      </c>
      <c r="P104" s="478">
        <f t="shared" si="27"/>
        <v>0</v>
      </c>
    </row>
    <row r="105" spans="1:16">
      <c r="B105" s="160" t="str">
        <f t="shared" si="28"/>
        <v/>
      </c>
      <c r="C105" s="472">
        <f>IF(D93="","-",+C104+1)</f>
        <v>2019</v>
      </c>
      <c r="D105" s="584">
        <v>910022</v>
      </c>
      <c r="E105" s="585">
        <v>25257</v>
      </c>
      <c r="F105" s="586">
        <v>884765</v>
      </c>
      <c r="G105" s="586">
        <v>897393.5</v>
      </c>
      <c r="H105" s="585">
        <v>117790.85676358812</v>
      </c>
      <c r="I105" s="587">
        <v>117790.85676358812</v>
      </c>
      <c r="J105" s="478">
        <f t="shared" si="29"/>
        <v>0</v>
      </c>
      <c r="K105" s="478"/>
      <c r="L105" s="476">
        <f t="shared" ref="L105" si="30">H105</f>
        <v>117790.85676358812</v>
      </c>
      <c r="M105" s="349">
        <f t="shared" ref="M105" si="31">IF(L105&lt;&gt;0,+H105-L105,0)</f>
        <v>0</v>
      </c>
      <c r="N105" s="476">
        <f t="shared" ref="N105" si="32">I105</f>
        <v>117790.85676358812</v>
      </c>
      <c r="O105" s="478">
        <f t="shared" ref="O105:O130" si="33">IF(N105&lt;&gt;0,+I105-N105,0)</f>
        <v>0</v>
      </c>
      <c r="P105" s="478">
        <f t="shared" ref="P105:P130" si="34">+O105-M105</f>
        <v>0</v>
      </c>
    </row>
    <row r="106" spans="1:16">
      <c r="B106" s="160" t="str">
        <f t="shared" si="28"/>
        <v/>
      </c>
      <c r="C106" s="472">
        <f>IF(D93="","-",+C105+1)</f>
        <v>2020</v>
      </c>
      <c r="D106" s="584">
        <v>884765</v>
      </c>
      <c r="E106" s="585">
        <v>24083</v>
      </c>
      <c r="F106" s="586">
        <v>860682</v>
      </c>
      <c r="G106" s="586">
        <v>872723.5</v>
      </c>
      <c r="H106" s="585">
        <v>124705.62019457563</v>
      </c>
      <c r="I106" s="587">
        <v>124705.62019457563</v>
      </c>
      <c r="J106" s="478">
        <f t="shared" si="29"/>
        <v>0</v>
      </c>
      <c r="K106" s="478"/>
      <c r="L106" s="476">
        <f t="shared" ref="L106" si="35">H106</f>
        <v>124705.62019457563</v>
      </c>
      <c r="M106" s="349">
        <f t="shared" ref="M106" si="36">IF(L106&lt;&gt;0,+H106-L106,0)</f>
        <v>0</v>
      </c>
      <c r="N106" s="476">
        <f t="shared" ref="N106" si="37">I106</f>
        <v>124705.62019457563</v>
      </c>
      <c r="O106" s="478">
        <f t="shared" si="33"/>
        <v>0</v>
      </c>
      <c r="P106" s="478">
        <f t="shared" si="34"/>
        <v>0</v>
      </c>
    </row>
    <row r="107" spans="1:16">
      <c r="B107" s="160" t="str">
        <f t="shared" si="28"/>
        <v/>
      </c>
      <c r="C107" s="472">
        <f>IF(D93="","-",+C106+1)</f>
        <v>2021</v>
      </c>
      <c r="D107" s="347">
        <f>IF(F106+SUM(E$99:E106)=D$92,F106,D$92-SUM(E$99:E106))</f>
        <v>860682</v>
      </c>
      <c r="E107" s="484">
        <f t="shared" ref="E107:E154" si="38">IF(+J$96&lt;F106,J$96,D107)</f>
        <v>25257</v>
      </c>
      <c r="F107" s="485">
        <f t="shared" ref="F107:F154" si="39">+D107-E107</f>
        <v>835425</v>
      </c>
      <c r="G107" s="485">
        <f t="shared" ref="G107:G154" si="40">+(F107+D107)/2</f>
        <v>848053.5</v>
      </c>
      <c r="H107" s="486">
        <f t="shared" ref="H107:H152" si="41">(D107+F107)/2*J$94+E107</f>
        <v>121759.37640510849</v>
      </c>
      <c r="I107" s="542">
        <f t="shared" ref="I107:I152" si="42">+J$95*G107+E107</f>
        <v>121759.37640510849</v>
      </c>
      <c r="J107" s="478">
        <f t="shared" si="29"/>
        <v>0</v>
      </c>
      <c r="K107" s="478"/>
      <c r="L107" s="487"/>
      <c r="M107" s="478">
        <f t="shared" ref="M107:M130" si="43">IF(L107&lt;&gt;0,+H107-L107,0)</f>
        <v>0</v>
      </c>
      <c r="N107" s="487"/>
      <c r="O107" s="478">
        <f t="shared" si="33"/>
        <v>0</v>
      </c>
      <c r="P107" s="478">
        <f t="shared" si="34"/>
        <v>0</v>
      </c>
    </row>
    <row r="108" spans="1:16">
      <c r="B108" s="160" t="str">
        <f t="shared" si="28"/>
        <v/>
      </c>
      <c r="C108" s="472">
        <f>IF(D93="","-",+C107+1)</f>
        <v>2022</v>
      </c>
      <c r="D108" s="347">
        <f>IF(F107+SUM(E$99:E107)=D$92,F107,D$92-SUM(E$99:E107))</f>
        <v>835425</v>
      </c>
      <c r="E108" s="484">
        <f t="shared" si="38"/>
        <v>25257</v>
      </c>
      <c r="F108" s="485">
        <f t="shared" si="39"/>
        <v>810168</v>
      </c>
      <c r="G108" s="485">
        <f t="shared" si="40"/>
        <v>822796.5</v>
      </c>
      <c r="H108" s="486">
        <f t="shared" si="41"/>
        <v>118885.31183151281</v>
      </c>
      <c r="I108" s="542">
        <f t="shared" si="42"/>
        <v>118885.31183151281</v>
      </c>
      <c r="J108" s="478">
        <f t="shared" si="29"/>
        <v>0</v>
      </c>
      <c r="K108" s="478"/>
      <c r="L108" s="487"/>
      <c r="M108" s="478">
        <f t="shared" si="43"/>
        <v>0</v>
      </c>
      <c r="N108" s="487"/>
      <c r="O108" s="478">
        <f t="shared" si="33"/>
        <v>0</v>
      </c>
      <c r="P108" s="478">
        <f t="shared" si="34"/>
        <v>0</v>
      </c>
    </row>
    <row r="109" spans="1:16">
      <c r="B109" s="160" t="str">
        <f t="shared" si="28"/>
        <v/>
      </c>
      <c r="C109" s="472">
        <f>IF(D93="","-",+C108+1)</f>
        <v>2023</v>
      </c>
      <c r="D109" s="347">
        <f>IF(F108+SUM(E$99:E108)=D$92,F108,D$92-SUM(E$99:E108))</f>
        <v>810168</v>
      </c>
      <c r="E109" s="484">
        <f t="shared" si="38"/>
        <v>25257</v>
      </c>
      <c r="F109" s="485">
        <f t="shared" si="39"/>
        <v>784911</v>
      </c>
      <c r="G109" s="485">
        <f t="shared" si="40"/>
        <v>797539.5</v>
      </c>
      <c r="H109" s="486">
        <f t="shared" si="41"/>
        <v>116011.24725791713</v>
      </c>
      <c r="I109" s="542">
        <f t="shared" si="42"/>
        <v>116011.24725791713</v>
      </c>
      <c r="J109" s="478">
        <f t="shared" si="29"/>
        <v>0</v>
      </c>
      <c r="K109" s="478"/>
      <c r="L109" s="487"/>
      <c r="M109" s="478">
        <f t="shared" si="43"/>
        <v>0</v>
      </c>
      <c r="N109" s="487"/>
      <c r="O109" s="478">
        <f t="shared" si="33"/>
        <v>0</v>
      </c>
      <c r="P109" s="478">
        <f t="shared" si="34"/>
        <v>0</v>
      </c>
    </row>
    <row r="110" spans="1:16">
      <c r="B110" s="160" t="str">
        <f t="shared" si="28"/>
        <v/>
      </c>
      <c r="C110" s="472">
        <f>IF(D93="","-",+C109+1)</f>
        <v>2024</v>
      </c>
      <c r="D110" s="347">
        <f>IF(F109+SUM(E$99:E109)=D$92,F109,D$92-SUM(E$99:E109))</f>
        <v>784911</v>
      </c>
      <c r="E110" s="484">
        <f t="shared" si="38"/>
        <v>25257</v>
      </c>
      <c r="F110" s="485">
        <f t="shared" si="39"/>
        <v>759654</v>
      </c>
      <c r="G110" s="485">
        <f t="shared" si="40"/>
        <v>772282.5</v>
      </c>
      <c r="H110" s="486">
        <f t="shared" si="41"/>
        <v>113137.18268432145</v>
      </c>
      <c r="I110" s="542">
        <f t="shared" si="42"/>
        <v>113137.18268432145</v>
      </c>
      <c r="J110" s="478">
        <f t="shared" si="29"/>
        <v>0</v>
      </c>
      <c r="K110" s="478"/>
      <c r="L110" s="487"/>
      <c r="M110" s="478">
        <f t="shared" si="43"/>
        <v>0</v>
      </c>
      <c r="N110" s="487"/>
      <c r="O110" s="478">
        <f t="shared" si="33"/>
        <v>0</v>
      </c>
      <c r="P110" s="478">
        <f t="shared" si="34"/>
        <v>0</v>
      </c>
    </row>
    <row r="111" spans="1:16">
      <c r="B111" s="160" t="str">
        <f t="shared" si="28"/>
        <v/>
      </c>
      <c r="C111" s="472">
        <f>IF(D93="","-",+C110+1)</f>
        <v>2025</v>
      </c>
      <c r="D111" s="347">
        <f>IF(F110+SUM(E$99:E110)=D$92,F110,D$92-SUM(E$99:E110))</f>
        <v>759654</v>
      </c>
      <c r="E111" s="484">
        <f t="shared" si="38"/>
        <v>25257</v>
      </c>
      <c r="F111" s="485">
        <f t="shared" si="39"/>
        <v>734397</v>
      </c>
      <c r="G111" s="485">
        <f t="shared" si="40"/>
        <v>747025.5</v>
      </c>
      <c r="H111" s="486">
        <f t="shared" si="41"/>
        <v>110263.11811072577</v>
      </c>
      <c r="I111" s="542">
        <f t="shared" si="42"/>
        <v>110263.11811072577</v>
      </c>
      <c r="J111" s="478">
        <f t="shared" si="29"/>
        <v>0</v>
      </c>
      <c r="K111" s="478"/>
      <c r="L111" s="487"/>
      <c r="M111" s="478">
        <f t="shared" si="43"/>
        <v>0</v>
      </c>
      <c r="N111" s="487"/>
      <c r="O111" s="478">
        <f t="shared" si="33"/>
        <v>0</v>
      </c>
      <c r="P111" s="478">
        <f t="shared" si="34"/>
        <v>0</v>
      </c>
    </row>
    <row r="112" spans="1:16">
      <c r="B112" s="160" t="str">
        <f t="shared" si="28"/>
        <v/>
      </c>
      <c r="C112" s="472">
        <f>IF(D93="","-",+C111+1)</f>
        <v>2026</v>
      </c>
      <c r="D112" s="347">
        <f>IF(F111+SUM(E$99:E111)=D$92,F111,D$92-SUM(E$99:E111))</f>
        <v>734397</v>
      </c>
      <c r="E112" s="484">
        <f t="shared" si="38"/>
        <v>25257</v>
      </c>
      <c r="F112" s="485">
        <f t="shared" si="39"/>
        <v>709140</v>
      </c>
      <c r="G112" s="485">
        <f t="shared" si="40"/>
        <v>721768.5</v>
      </c>
      <c r="H112" s="486">
        <f t="shared" si="41"/>
        <v>107389.05353713008</v>
      </c>
      <c r="I112" s="542">
        <f t="shared" si="42"/>
        <v>107389.05353713008</v>
      </c>
      <c r="J112" s="478">
        <f t="shared" si="29"/>
        <v>0</v>
      </c>
      <c r="K112" s="478"/>
      <c r="L112" s="487"/>
      <c r="M112" s="478">
        <f t="shared" si="43"/>
        <v>0</v>
      </c>
      <c r="N112" s="487"/>
      <c r="O112" s="478">
        <f t="shared" si="33"/>
        <v>0</v>
      </c>
      <c r="P112" s="478">
        <f t="shared" si="34"/>
        <v>0</v>
      </c>
    </row>
    <row r="113" spans="2:16">
      <c r="B113" s="160" t="str">
        <f t="shared" si="28"/>
        <v/>
      </c>
      <c r="C113" s="472">
        <f>IF(D93="","-",+C112+1)</f>
        <v>2027</v>
      </c>
      <c r="D113" s="347">
        <f>IF(F112+SUM(E$99:E112)=D$92,F112,D$92-SUM(E$99:E112))</f>
        <v>709140</v>
      </c>
      <c r="E113" s="484">
        <f t="shared" si="38"/>
        <v>25257</v>
      </c>
      <c r="F113" s="485">
        <f t="shared" si="39"/>
        <v>683883</v>
      </c>
      <c r="G113" s="485">
        <f t="shared" si="40"/>
        <v>696511.5</v>
      </c>
      <c r="H113" s="486">
        <f t="shared" si="41"/>
        <v>104514.9889635344</v>
      </c>
      <c r="I113" s="542">
        <f t="shared" si="42"/>
        <v>104514.9889635344</v>
      </c>
      <c r="J113" s="478">
        <f t="shared" si="29"/>
        <v>0</v>
      </c>
      <c r="K113" s="478"/>
      <c r="L113" s="487"/>
      <c r="M113" s="478">
        <f t="shared" si="43"/>
        <v>0</v>
      </c>
      <c r="N113" s="487"/>
      <c r="O113" s="478">
        <f t="shared" si="33"/>
        <v>0</v>
      </c>
      <c r="P113" s="478">
        <f t="shared" si="34"/>
        <v>0</v>
      </c>
    </row>
    <row r="114" spans="2:16">
      <c r="B114" s="160" t="str">
        <f t="shared" si="28"/>
        <v/>
      </c>
      <c r="C114" s="472">
        <f>IF(D93="","-",+C113+1)</f>
        <v>2028</v>
      </c>
      <c r="D114" s="347">
        <f>IF(F113+SUM(E$99:E113)=D$92,F113,D$92-SUM(E$99:E113))</f>
        <v>683883</v>
      </c>
      <c r="E114" s="484">
        <f t="shared" si="38"/>
        <v>25257</v>
      </c>
      <c r="F114" s="485">
        <f t="shared" si="39"/>
        <v>658626</v>
      </c>
      <c r="G114" s="485">
        <f t="shared" si="40"/>
        <v>671254.5</v>
      </c>
      <c r="H114" s="486">
        <f t="shared" si="41"/>
        <v>101640.92438993872</v>
      </c>
      <c r="I114" s="542">
        <f t="shared" si="42"/>
        <v>101640.92438993872</v>
      </c>
      <c r="J114" s="478">
        <f t="shared" si="29"/>
        <v>0</v>
      </c>
      <c r="K114" s="478"/>
      <c r="L114" s="487"/>
      <c r="M114" s="478">
        <f t="shared" si="43"/>
        <v>0</v>
      </c>
      <c r="N114" s="487"/>
      <c r="O114" s="478">
        <f t="shared" si="33"/>
        <v>0</v>
      </c>
      <c r="P114" s="478">
        <f t="shared" si="34"/>
        <v>0</v>
      </c>
    </row>
    <row r="115" spans="2:16">
      <c r="B115" s="160" t="str">
        <f t="shared" si="28"/>
        <v/>
      </c>
      <c r="C115" s="472">
        <f>IF(D93="","-",+C114+1)</f>
        <v>2029</v>
      </c>
      <c r="D115" s="347">
        <f>IF(F114+SUM(E$99:E114)=D$92,F114,D$92-SUM(E$99:E114))</f>
        <v>658626</v>
      </c>
      <c r="E115" s="484">
        <f t="shared" si="38"/>
        <v>25257</v>
      </c>
      <c r="F115" s="485">
        <f t="shared" si="39"/>
        <v>633369</v>
      </c>
      <c r="G115" s="485">
        <f t="shared" si="40"/>
        <v>645997.5</v>
      </c>
      <c r="H115" s="486">
        <f t="shared" si="41"/>
        <v>98766.859816343043</v>
      </c>
      <c r="I115" s="542">
        <f t="shared" si="42"/>
        <v>98766.859816343043</v>
      </c>
      <c r="J115" s="478">
        <f t="shared" si="29"/>
        <v>0</v>
      </c>
      <c r="K115" s="478"/>
      <c r="L115" s="487"/>
      <c r="M115" s="478">
        <f t="shared" si="43"/>
        <v>0</v>
      </c>
      <c r="N115" s="487"/>
      <c r="O115" s="478">
        <f t="shared" si="33"/>
        <v>0</v>
      </c>
      <c r="P115" s="478">
        <f t="shared" si="34"/>
        <v>0</v>
      </c>
    </row>
    <row r="116" spans="2:16">
      <c r="B116" s="160" t="str">
        <f t="shared" si="28"/>
        <v/>
      </c>
      <c r="C116" s="472">
        <f>IF(D93="","-",+C115+1)</f>
        <v>2030</v>
      </c>
      <c r="D116" s="347">
        <f>IF(F115+SUM(E$99:E115)=D$92,F115,D$92-SUM(E$99:E115))</f>
        <v>633369</v>
      </c>
      <c r="E116" s="484">
        <f t="shared" si="38"/>
        <v>25257</v>
      </c>
      <c r="F116" s="485">
        <f t="shared" si="39"/>
        <v>608112</v>
      </c>
      <c r="G116" s="485">
        <f t="shared" si="40"/>
        <v>620740.5</v>
      </c>
      <c r="H116" s="486">
        <f t="shared" si="41"/>
        <v>95892.795242747365</v>
      </c>
      <c r="I116" s="542">
        <f t="shared" si="42"/>
        <v>95892.795242747365</v>
      </c>
      <c r="J116" s="478">
        <f t="shared" si="29"/>
        <v>0</v>
      </c>
      <c r="K116" s="478"/>
      <c r="L116" s="487"/>
      <c r="M116" s="478">
        <f t="shared" si="43"/>
        <v>0</v>
      </c>
      <c r="N116" s="487"/>
      <c r="O116" s="478">
        <f t="shared" si="33"/>
        <v>0</v>
      </c>
      <c r="P116" s="478">
        <f t="shared" si="34"/>
        <v>0</v>
      </c>
    </row>
    <row r="117" spans="2:16">
      <c r="B117" s="160" t="str">
        <f t="shared" si="28"/>
        <v/>
      </c>
      <c r="C117" s="472">
        <f>IF(D93="","-",+C116+1)</f>
        <v>2031</v>
      </c>
      <c r="D117" s="347">
        <f>IF(F116+SUM(E$99:E116)=D$92,F116,D$92-SUM(E$99:E116))</f>
        <v>608112</v>
      </c>
      <c r="E117" s="484">
        <f t="shared" si="38"/>
        <v>25257</v>
      </c>
      <c r="F117" s="485">
        <f t="shared" si="39"/>
        <v>582855</v>
      </c>
      <c r="G117" s="485">
        <f t="shared" si="40"/>
        <v>595483.5</v>
      </c>
      <c r="H117" s="486">
        <f t="shared" si="41"/>
        <v>93018.730669151671</v>
      </c>
      <c r="I117" s="542">
        <f t="shared" si="42"/>
        <v>93018.730669151671</v>
      </c>
      <c r="J117" s="478">
        <f t="shared" si="29"/>
        <v>0</v>
      </c>
      <c r="K117" s="478"/>
      <c r="L117" s="487"/>
      <c r="M117" s="478">
        <f t="shared" si="43"/>
        <v>0</v>
      </c>
      <c r="N117" s="487"/>
      <c r="O117" s="478">
        <f t="shared" si="33"/>
        <v>0</v>
      </c>
      <c r="P117" s="478">
        <f t="shared" si="34"/>
        <v>0</v>
      </c>
    </row>
    <row r="118" spans="2:16">
      <c r="B118" s="160" t="str">
        <f t="shared" si="28"/>
        <v/>
      </c>
      <c r="C118" s="472">
        <f>IF(D93="","-",+C117+1)</f>
        <v>2032</v>
      </c>
      <c r="D118" s="347">
        <f>IF(F117+SUM(E$99:E117)=D$92,F117,D$92-SUM(E$99:E117))</f>
        <v>582855</v>
      </c>
      <c r="E118" s="484">
        <f t="shared" si="38"/>
        <v>25257</v>
      </c>
      <c r="F118" s="485">
        <f t="shared" si="39"/>
        <v>557598</v>
      </c>
      <c r="G118" s="485">
        <f t="shared" si="40"/>
        <v>570226.5</v>
      </c>
      <c r="H118" s="486">
        <f t="shared" si="41"/>
        <v>90144.666095555993</v>
      </c>
      <c r="I118" s="542">
        <f t="shared" si="42"/>
        <v>90144.666095555993</v>
      </c>
      <c r="J118" s="478">
        <f t="shared" si="29"/>
        <v>0</v>
      </c>
      <c r="K118" s="478"/>
      <c r="L118" s="487"/>
      <c r="M118" s="478">
        <f t="shared" si="43"/>
        <v>0</v>
      </c>
      <c r="N118" s="487"/>
      <c r="O118" s="478">
        <f t="shared" si="33"/>
        <v>0</v>
      </c>
      <c r="P118" s="478">
        <f t="shared" si="34"/>
        <v>0</v>
      </c>
    </row>
    <row r="119" spans="2:16">
      <c r="B119" s="160" t="str">
        <f t="shared" si="28"/>
        <v/>
      </c>
      <c r="C119" s="472">
        <f>IF(D93="","-",+C118+1)</f>
        <v>2033</v>
      </c>
      <c r="D119" s="347">
        <f>IF(F118+SUM(E$99:E118)=D$92,F118,D$92-SUM(E$99:E118))</f>
        <v>557598</v>
      </c>
      <c r="E119" s="484">
        <f t="shared" si="38"/>
        <v>25257</v>
      </c>
      <c r="F119" s="485">
        <f t="shared" si="39"/>
        <v>532341</v>
      </c>
      <c r="G119" s="485">
        <f t="shared" si="40"/>
        <v>544969.5</v>
      </c>
      <c r="H119" s="486">
        <f t="shared" si="41"/>
        <v>87270.601521960314</v>
      </c>
      <c r="I119" s="542">
        <f t="shared" si="42"/>
        <v>87270.601521960314</v>
      </c>
      <c r="J119" s="478">
        <f t="shared" si="29"/>
        <v>0</v>
      </c>
      <c r="K119" s="478"/>
      <c r="L119" s="487"/>
      <c r="M119" s="478">
        <f t="shared" si="43"/>
        <v>0</v>
      </c>
      <c r="N119" s="487"/>
      <c r="O119" s="478">
        <f t="shared" si="33"/>
        <v>0</v>
      </c>
      <c r="P119" s="478">
        <f t="shared" si="34"/>
        <v>0</v>
      </c>
    </row>
    <row r="120" spans="2:16">
      <c r="B120" s="160" t="str">
        <f t="shared" si="28"/>
        <v/>
      </c>
      <c r="C120" s="472">
        <f>IF(D93="","-",+C119+1)</f>
        <v>2034</v>
      </c>
      <c r="D120" s="347">
        <f>IF(F119+SUM(E$99:E119)=D$92,F119,D$92-SUM(E$99:E119))</f>
        <v>532341</v>
      </c>
      <c r="E120" s="484">
        <f t="shared" si="38"/>
        <v>25257</v>
      </c>
      <c r="F120" s="485">
        <f t="shared" si="39"/>
        <v>507084</v>
      </c>
      <c r="G120" s="485">
        <f t="shared" si="40"/>
        <v>519712.5</v>
      </c>
      <c r="H120" s="486">
        <f t="shared" si="41"/>
        <v>84396.536948364635</v>
      </c>
      <c r="I120" s="542">
        <f t="shared" si="42"/>
        <v>84396.536948364635</v>
      </c>
      <c r="J120" s="478">
        <f t="shared" si="29"/>
        <v>0</v>
      </c>
      <c r="K120" s="478"/>
      <c r="L120" s="487"/>
      <c r="M120" s="478">
        <f t="shared" si="43"/>
        <v>0</v>
      </c>
      <c r="N120" s="487"/>
      <c r="O120" s="478">
        <f t="shared" si="33"/>
        <v>0</v>
      </c>
      <c r="P120" s="478">
        <f t="shared" si="34"/>
        <v>0</v>
      </c>
    </row>
    <row r="121" spans="2:16">
      <c r="B121" s="160" t="str">
        <f t="shared" si="28"/>
        <v/>
      </c>
      <c r="C121" s="472">
        <f>IF(D93="","-",+C120+1)</f>
        <v>2035</v>
      </c>
      <c r="D121" s="347">
        <f>IF(F120+SUM(E$99:E120)=D$92,F120,D$92-SUM(E$99:E120))</f>
        <v>507084</v>
      </c>
      <c r="E121" s="484">
        <f t="shared" si="38"/>
        <v>25257</v>
      </c>
      <c r="F121" s="485">
        <f t="shared" si="39"/>
        <v>481827</v>
      </c>
      <c r="G121" s="485">
        <f t="shared" si="40"/>
        <v>494455.5</v>
      </c>
      <c r="H121" s="486">
        <f t="shared" si="41"/>
        <v>81522.472374768957</v>
      </c>
      <c r="I121" s="542">
        <f t="shared" si="42"/>
        <v>81522.472374768957</v>
      </c>
      <c r="J121" s="478">
        <f t="shared" si="29"/>
        <v>0</v>
      </c>
      <c r="K121" s="478"/>
      <c r="L121" s="487"/>
      <c r="M121" s="478">
        <f t="shared" si="43"/>
        <v>0</v>
      </c>
      <c r="N121" s="487"/>
      <c r="O121" s="478">
        <f t="shared" si="33"/>
        <v>0</v>
      </c>
      <c r="P121" s="478">
        <f t="shared" si="34"/>
        <v>0</v>
      </c>
    </row>
    <row r="122" spans="2:16">
      <c r="B122" s="160" t="str">
        <f t="shared" si="28"/>
        <v/>
      </c>
      <c r="C122" s="472">
        <f>IF(D93="","-",+C121+1)</f>
        <v>2036</v>
      </c>
      <c r="D122" s="347">
        <f>IF(F121+SUM(E$99:E121)=D$92,F121,D$92-SUM(E$99:E121))</f>
        <v>481827</v>
      </c>
      <c r="E122" s="484">
        <f t="shared" si="38"/>
        <v>25257</v>
      </c>
      <c r="F122" s="485">
        <f t="shared" si="39"/>
        <v>456570</v>
      </c>
      <c r="G122" s="485">
        <f t="shared" si="40"/>
        <v>469198.5</v>
      </c>
      <c r="H122" s="486">
        <f t="shared" si="41"/>
        <v>78648.407801173278</v>
      </c>
      <c r="I122" s="542">
        <f t="shared" si="42"/>
        <v>78648.407801173278</v>
      </c>
      <c r="J122" s="478">
        <f t="shared" si="29"/>
        <v>0</v>
      </c>
      <c r="K122" s="478"/>
      <c r="L122" s="487"/>
      <c r="M122" s="478">
        <f t="shared" si="43"/>
        <v>0</v>
      </c>
      <c r="N122" s="487"/>
      <c r="O122" s="478">
        <f t="shared" si="33"/>
        <v>0</v>
      </c>
      <c r="P122" s="478">
        <f t="shared" si="34"/>
        <v>0</v>
      </c>
    </row>
    <row r="123" spans="2:16">
      <c r="B123" s="160" t="str">
        <f t="shared" si="28"/>
        <v/>
      </c>
      <c r="C123" s="472">
        <f>IF(D93="","-",+C122+1)</f>
        <v>2037</v>
      </c>
      <c r="D123" s="347">
        <f>IF(F122+SUM(E$99:E122)=D$92,F122,D$92-SUM(E$99:E122))</f>
        <v>456570</v>
      </c>
      <c r="E123" s="484">
        <f t="shared" si="38"/>
        <v>25257</v>
      </c>
      <c r="F123" s="485">
        <f t="shared" si="39"/>
        <v>431313</v>
      </c>
      <c r="G123" s="485">
        <f t="shared" si="40"/>
        <v>443941.5</v>
      </c>
      <c r="H123" s="486">
        <f t="shared" si="41"/>
        <v>75774.343227577599</v>
      </c>
      <c r="I123" s="542">
        <f t="shared" si="42"/>
        <v>75774.343227577599</v>
      </c>
      <c r="J123" s="478">
        <f t="shared" si="29"/>
        <v>0</v>
      </c>
      <c r="K123" s="478"/>
      <c r="L123" s="487"/>
      <c r="M123" s="478">
        <f t="shared" si="43"/>
        <v>0</v>
      </c>
      <c r="N123" s="487"/>
      <c r="O123" s="478">
        <f t="shared" si="33"/>
        <v>0</v>
      </c>
      <c r="P123" s="478">
        <f t="shared" si="34"/>
        <v>0</v>
      </c>
    </row>
    <row r="124" spans="2:16">
      <c r="B124" s="160" t="str">
        <f t="shared" si="28"/>
        <v/>
      </c>
      <c r="C124" s="472">
        <f>IF(D93="","-",+C123+1)</f>
        <v>2038</v>
      </c>
      <c r="D124" s="347">
        <f>IF(F123+SUM(E$99:E123)=D$92,F123,D$92-SUM(E$99:E123))</f>
        <v>431313</v>
      </c>
      <c r="E124" s="484">
        <f t="shared" si="38"/>
        <v>25257</v>
      </c>
      <c r="F124" s="485">
        <f t="shared" si="39"/>
        <v>406056</v>
      </c>
      <c r="G124" s="485">
        <f t="shared" si="40"/>
        <v>418684.5</v>
      </c>
      <c r="H124" s="486">
        <f t="shared" si="41"/>
        <v>72900.278653981906</v>
      </c>
      <c r="I124" s="542">
        <f t="shared" si="42"/>
        <v>72900.278653981906</v>
      </c>
      <c r="J124" s="478">
        <f t="shared" si="29"/>
        <v>0</v>
      </c>
      <c r="K124" s="478"/>
      <c r="L124" s="487"/>
      <c r="M124" s="478">
        <f t="shared" si="43"/>
        <v>0</v>
      </c>
      <c r="N124" s="487"/>
      <c r="O124" s="478">
        <f t="shared" si="33"/>
        <v>0</v>
      </c>
      <c r="P124" s="478">
        <f t="shared" si="34"/>
        <v>0</v>
      </c>
    </row>
    <row r="125" spans="2:16">
      <c r="B125" s="160" t="str">
        <f t="shared" si="28"/>
        <v/>
      </c>
      <c r="C125" s="472">
        <f>IF(D93="","-",+C124+1)</f>
        <v>2039</v>
      </c>
      <c r="D125" s="347">
        <f>IF(F124+SUM(E$99:E124)=D$92,F124,D$92-SUM(E$99:E124))</f>
        <v>406056</v>
      </c>
      <c r="E125" s="484">
        <f t="shared" si="38"/>
        <v>25257</v>
      </c>
      <c r="F125" s="485">
        <f t="shared" si="39"/>
        <v>380799</v>
      </c>
      <c r="G125" s="485">
        <f t="shared" si="40"/>
        <v>393427.5</v>
      </c>
      <c r="H125" s="486">
        <f t="shared" si="41"/>
        <v>70026.214080386228</v>
      </c>
      <c r="I125" s="542">
        <f t="shared" si="42"/>
        <v>70026.214080386228</v>
      </c>
      <c r="J125" s="478">
        <f t="shared" si="29"/>
        <v>0</v>
      </c>
      <c r="K125" s="478"/>
      <c r="L125" s="487"/>
      <c r="M125" s="478">
        <f t="shared" si="43"/>
        <v>0</v>
      </c>
      <c r="N125" s="487"/>
      <c r="O125" s="478">
        <f t="shared" si="33"/>
        <v>0</v>
      </c>
      <c r="P125" s="478">
        <f t="shared" si="34"/>
        <v>0</v>
      </c>
    </row>
    <row r="126" spans="2:16">
      <c r="B126" s="160" t="str">
        <f t="shared" si="28"/>
        <v/>
      </c>
      <c r="C126" s="472">
        <f>IF(D93="","-",+C125+1)</f>
        <v>2040</v>
      </c>
      <c r="D126" s="347">
        <f>IF(F125+SUM(E$99:E125)=D$92,F125,D$92-SUM(E$99:E125))</f>
        <v>380799</v>
      </c>
      <c r="E126" s="484">
        <f t="shared" si="38"/>
        <v>25257</v>
      </c>
      <c r="F126" s="485">
        <f t="shared" si="39"/>
        <v>355542</v>
      </c>
      <c r="G126" s="485">
        <f t="shared" si="40"/>
        <v>368170.5</v>
      </c>
      <c r="H126" s="486">
        <f t="shared" si="41"/>
        <v>67152.149506790549</v>
      </c>
      <c r="I126" s="542">
        <f t="shared" si="42"/>
        <v>67152.149506790549</v>
      </c>
      <c r="J126" s="478">
        <f t="shared" si="29"/>
        <v>0</v>
      </c>
      <c r="K126" s="478"/>
      <c r="L126" s="487"/>
      <c r="M126" s="478">
        <f t="shared" si="43"/>
        <v>0</v>
      </c>
      <c r="N126" s="487"/>
      <c r="O126" s="478">
        <f t="shared" si="33"/>
        <v>0</v>
      </c>
      <c r="P126" s="478">
        <f t="shared" si="34"/>
        <v>0</v>
      </c>
    </row>
    <row r="127" spans="2:16">
      <c r="B127" s="160" t="str">
        <f t="shared" si="28"/>
        <v/>
      </c>
      <c r="C127" s="472">
        <f>IF(D93="","-",+C126+1)</f>
        <v>2041</v>
      </c>
      <c r="D127" s="347">
        <f>IF(F126+SUM(E$99:E126)=D$92,F126,D$92-SUM(E$99:E126))</f>
        <v>355542</v>
      </c>
      <c r="E127" s="484">
        <f t="shared" si="38"/>
        <v>25257</v>
      </c>
      <c r="F127" s="485">
        <f t="shared" si="39"/>
        <v>330285</v>
      </c>
      <c r="G127" s="485">
        <f t="shared" si="40"/>
        <v>342913.5</v>
      </c>
      <c r="H127" s="486">
        <f t="shared" si="41"/>
        <v>64278.084933194863</v>
      </c>
      <c r="I127" s="542">
        <f t="shared" si="42"/>
        <v>64278.084933194863</v>
      </c>
      <c r="J127" s="478">
        <f t="shared" si="29"/>
        <v>0</v>
      </c>
      <c r="K127" s="478"/>
      <c r="L127" s="487"/>
      <c r="M127" s="478">
        <f t="shared" si="43"/>
        <v>0</v>
      </c>
      <c r="N127" s="487"/>
      <c r="O127" s="478">
        <f t="shared" si="33"/>
        <v>0</v>
      </c>
      <c r="P127" s="478">
        <f t="shared" si="34"/>
        <v>0</v>
      </c>
    </row>
    <row r="128" spans="2:16">
      <c r="B128" s="160" t="str">
        <f t="shared" si="28"/>
        <v/>
      </c>
      <c r="C128" s="472">
        <f>IF(D93="","-",+C127+1)</f>
        <v>2042</v>
      </c>
      <c r="D128" s="347">
        <f>IF(F127+SUM(E$99:E127)=D$92,F127,D$92-SUM(E$99:E127))</f>
        <v>330285</v>
      </c>
      <c r="E128" s="484">
        <f t="shared" si="38"/>
        <v>25257</v>
      </c>
      <c r="F128" s="485">
        <f t="shared" si="39"/>
        <v>305028</v>
      </c>
      <c r="G128" s="485">
        <f t="shared" si="40"/>
        <v>317656.5</v>
      </c>
      <c r="H128" s="486">
        <f t="shared" si="41"/>
        <v>61404.020359599184</v>
      </c>
      <c r="I128" s="542">
        <f t="shared" si="42"/>
        <v>61404.020359599184</v>
      </c>
      <c r="J128" s="478">
        <f t="shared" si="29"/>
        <v>0</v>
      </c>
      <c r="K128" s="478"/>
      <c r="L128" s="487"/>
      <c r="M128" s="478">
        <f t="shared" si="43"/>
        <v>0</v>
      </c>
      <c r="N128" s="487"/>
      <c r="O128" s="478">
        <f t="shared" si="33"/>
        <v>0</v>
      </c>
      <c r="P128" s="478">
        <f t="shared" si="34"/>
        <v>0</v>
      </c>
    </row>
    <row r="129" spans="2:16">
      <c r="B129" s="160" t="str">
        <f t="shared" si="28"/>
        <v/>
      </c>
      <c r="C129" s="472">
        <f>IF(D93="","-",+C128+1)</f>
        <v>2043</v>
      </c>
      <c r="D129" s="347">
        <f>IF(F128+SUM(E$99:E128)=D$92,F128,D$92-SUM(E$99:E128))</f>
        <v>305028</v>
      </c>
      <c r="E129" s="484">
        <f t="shared" si="38"/>
        <v>25257</v>
      </c>
      <c r="F129" s="485">
        <f t="shared" si="39"/>
        <v>279771</v>
      </c>
      <c r="G129" s="485">
        <f t="shared" si="40"/>
        <v>292399.5</v>
      </c>
      <c r="H129" s="486">
        <f t="shared" si="41"/>
        <v>58529.955786003498</v>
      </c>
      <c r="I129" s="542">
        <f t="shared" si="42"/>
        <v>58529.955786003498</v>
      </c>
      <c r="J129" s="478">
        <f t="shared" si="29"/>
        <v>0</v>
      </c>
      <c r="K129" s="478"/>
      <c r="L129" s="487"/>
      <c r="M129" s="478">
        <f t="shared" si="43"/>
        <v>0</v>
      </c>
      <c r="N129" s="487"/>
      <c r="O129" s="478">
        <f t="shared" si="33"/>
        <v>0</v>
      </c>
      <c r="P129" s="478">
        <f t="shared" si="34"/>
        <v>0</v>
      </c>
    </row>
    <row r="130" spans="2:16">
      <c r="B130" s="160" t="str">
        <f t="shared" si="28"/>
        <v/>
      </c>
      <c r="C130" s="472">
        <f>IF(D93="","-",+C129+1)</f>
        <v>2044</v>
      </c>
      <c r="D130" s="347">
        <f>IF(F129+SUM(E$99:E129)=D$92,F129,D$92-SUM(E$99:E129))</f>
        <v>279771</v>
      </c>
      <c r="E130" s="484">
        <f t="shared" si="38"/>
        <v>25257</v>
      </c>
      <c r="F130" s="485">
        <f t="shared" si="39"/>
        <v>254514</v>
      </c>
      <c r="G130" s="485">
        <f t="shared" si="40"/>
        <v>267142.5</v>
      </c>
      <c r="H130" s="486">
        <f t="shared" si="41"/>
        <v>55655.89121240782</v>
      </c>
      <c r="I130" s="542">
        <f t="shared" si="42"/>
        <v>55655.89121240782</v>
      </c>
      <c r="J130" s="478">
        <f t="shared" si="29"/>
        <v>0</v>
      </c>
      <c r="K130" s="478"/>
      <c r="L130" s="487"/>
      <c r="M130" s="478">
        <f t="shared" si="43"/>
        <v>0</v>
      </c>
      <c r="N130" s="487"/>
      <c r="O130" s="478">
        <f t="shared" si="33"/>
        <v>0</v>
      </c>
      <c r="P130" s="478">
        <f t="shared" si="34"/>
        <v>0</v>
      </c>
    </row>
    <row r="131" spans="2:16">
      <c r="B131" s="160" t="str">
        <f t="shared" si="28"/>
        <v/>
      </c>
      <c r="C131" s="472">
        <f>IF(D93="","-",+C130+1)</f>
        <v>2045</v>
      </c>
      <c r="D131" s="347">
        <f>IF(F130+SUM(E$99:E130)=D$92,F130,D$92-SUM(E$99:E130))</f>
        <v>254514</v>
      </c>
      <c r="E131" s="484">
        <f t="shared" si="38"/>
        <v>25257</v>
      </c>
      <c r="F131" s="485">
        <f t="shared" si="39"/>
        <v>229257</v>
      </c>
      <c r="G131" s="485">
        <f t="shared" si="40"/>
        <v>241885.5</v>
      </c>
      <c r="H131" s="486">
        <f t="shared" si="41"/>
        <v>52781.826638812141</v>
      </c>
      <c r="I131" s="542">
        <f t="shared" si="42"/>
        <v>52781.826638812141</v>
      </c>
      <c r="J131" s="478">
        <f t="shared" si="29"/>
        <v>0</v>
      </c>
      <c r="K131" s="478"/>
      <c r="L131" s="487"/>
      <c r="M131" s="478">
        <f t="shared" ref="M131:M154" si="44">IF(L541&lt;&gt;0,+H541-L541,0)</f>
        <v>0</v>
      </c>
      <c r="N131" s="487"/>
      <c r="O131" s="478">
        <f t="shared" ref="O131:O154" si="45">IF(N541&lt;&gt;0,+I541-N541,0)</f>
        <v>0</v>
      </c>
      <c r="P131" s="478">
        <f t="shared" ref="P131:P154" si="46">+O541-M541</f>
        <v>0</v>
      </c>
    </row>
    <row r="132" spans="2:16">
      <c r="B132" s="160" t="str">
        <f t="shared" si="28"/>
        <v/>
      </c>
      <c r="C132" s="472">
        <f>IF(D93="","-",+C131+1)</f>
        <v>2046</v>
      </c>
      <c r="D132" s="347">
        <f>IF(F131+SUM(E$99:E131)=D$92,F131,D$92-SUM(E$99:E131))</f>
        <v>229257</v>
      </c>
      <c r="E132" s="484">
        <f t="shared" si="38"/>
        <v>25257</v>
      </c>
      <c r="F132" s="485">
        <f t="shared" si="39"/>
        <v>204000</v>
      </c>
      <c r="G132" s="485">
        <f t="shared" si="40"/>
        <v>216628.5</v>
      </c>
      <c r="H132" s="486">
        <f t="shared" si="41"/>
        <v>49907.762065216462</v>
      </c>
      <c r="I132" s="542">
        <f t="shared" si="42"/>
        <v>49907.762065216462</v>
      </c>
      <c r="J132" s="478">
        <f t="shared" si="29"/>
        <v>0</v>
      </c>
      <c r="K132" s="478"/>
      <c r="L132" s="487"/>
      <c r="M132" s="478">
        <f t="shared" si="44"/>
        <v>0</v>
      </c>
      <c r="N132" s="487"/>
      <c r="O132" s="478">
        <f t="shared" si="45"/>
        <v>0</v>
      </c>
      <c r="P132" s="478">
        <f t="shared" si="46"/>
        <v>0</v>
      </c>
    </row>
    <row r="133" spans="2:16">
      <c r="B133" s="160" t="str">
        <f t="shared" si="28"/>
        <v/>
      </c>
      <c r="C133" s="472">
        <f>IF(D93="","-",+C132+1)</f>
        <v>2047</v>
      </c>
      <c r="D133" s="347">
        <f>IF(F132+SUM(E$99:E132)=D$92,F132,D$92-SUM(E$99:E132))</f>
        <v>204000</v>
      </c>
      <c r="E133" s="484">
        <f t="shared" si="38"/>
        <v>25257</v>
      </c>
      <c r="F133" s="485">
        <f t="shared" si="39"/>
        <v>178743</v>
      </c>
      <c r="G133" s="485">
        <f t="shared" si="40"/>
        <v>191371.5</v>
      </c>
      <c r="H133" s="486">
        <f t="shared" si="41"/>
        <v>47033.697491620776</v>
      </c>
      <c r="I133" s="542">
        <f t="shared" si="42"/>
        <v>47033.697491620776</v>
      </c>
      <c r="J133" s="478">
        <f t="shared" si="29"/>
        <v>0</v>
      </c>
      <c r="K133" s="478"/>
      <c r="L133" s="487"/>
      <c r="M133" s="478">
        <f t="shared" si="44"/>
        <v>0</v>
      </c>
      <c r="N133" s="487"/>
      <c r="O133" s="478">
        <f t="shared" si="45"/>
        <v>0</v>
      </c>
      <c r="P133" s="478">
        <f t="shared" si="46"/>
        <v>0</v>
      </c>
    </row>
    <row r="134" spans="2:16">
      <c r="B134" s="160" t="str">
        <f t="shared" si="28"/>
        <v/>
      </c>
      <c r="C134" s="472">
        <f>IF(D93="","-",+C133+1)</f>
        <v>2048</v>
      </c>
      <c r="D134" s="347">
        <f>IF(F133+SUM(E$99:E133)=D$92,F133,D$92-SUM(E$99:E133))</f>
        <v>178743</v>
      </c>
      <c r="E134" s="484">
        <f t="shared" si="38"/>
        <v>25257</v>
      </c>
      <c r="F134" s="485">
        <f t="shared" si="39"/>
        <v>153486</v>
      </c>
      <c r="G134" s="485">
        <f t="shared" si="40"/>
        <v>166114.5</v>
      </c>
      <c r="H134" s="486">
        <f t="shared" si="41"/>
        <v>44159.63291802509</v>
      </c>
      <c r="I134" s="542">
        <f t="shared" si="42"/>
        <v>44159.63291802509</v>
      </c>
      <c r="J134" s="478">
        <f t="shared" si="29"/>
        <v>0</v>
      </c>
      <c r="K134" s="478"/>
      <c r="L134" s="487"/>
      <c r="M134" s="478">
        <f t="shared" si="44"/>
        <v>0</v>
      </c>
      <c r="N134" s="487"/>
      <c r="O134" s="478">
        <f t="shared" si="45"/>
        <v>0</v>
      </c>
      <c r="P134" s="478">
        <f t="shared" si="46"/>
        <v>0</v>
      </c>
    </row>
    <row r="135" spans="2:16">
      <c r="B135" s="160" t="str">
        <f t="shared" si="28"/>
        <v/>
      </c>
      <c r="C135" s="472">
        <f>IF(D93="","-",+C134+1)</f>
        <v>2049</v>
      </c>
      <c r="D135" s="347">
        <f>IF(F134+SUM(E$99:E134)=D$92,F134,D$92-SUM(E$99:E134))</f>
        <v>153486</v>
      </c>
      <c r="E135" s="484">
        <f t="shared" si="38"/>
        <v>25257</v>
      </c>
      <c r="F135" s="485">
        <f t="shared" si="39"/>
        <v>128229</v>
      </c>
      <c r="G135" s="485">
        <f t="shared" si="40"/>
        <v>140857.5</v>
      </c>
      <c r="H135" s="486">
        <f t="shared" si="41"/>
        <v>41285.568344429412</v>
      </c>
      <c r="I135" s="542">
        <f t="shared" si="42"/>
        <v>41285.568344429412</v>
      </c>
      <c r="J135" s="478">
        <f t="shared" si="29"/>
        <v>0</v>
      </c>
      <c r="K135" s="478"/>
      <c r="L135" s="487"/>
      <c r="M135" s="478">
        <f t="shared" si="44"/>
        <v>0</v>
      </c>
      <c r="N135" s="487"/>
      <c r="O135" s="478">
        <f t="shared" si="45"/>
        <v>0</v>
      </c>
      <c r="P135" s="478">
        <f t="shared" si="46"/>
        <v>0</v>
      </c>
    </row>
    <row r="136" spans="2:16">
      <c r="B136" s="160" t="str">
        <f t="shared" si="28"/>
        <v/>
      </c>
      <c r="C136" s="472">
        <f>IF(D93="","-",+C135+1)</f>
        <v>2050</v>
      </c>
      <c r="D136" s="347">
        <f>IF(F135+SUM(E$99:E135)=D$92,F135,D$92-SUM(E$99:E135))</f>
        <v>128229</v>
      </c>
      <c r="E136" s="484">
        <f t="shared" si="38"/>
        <v>25257</v>
      </c>
      <c r="F136" s="485">
        <f t="shared" si="39"/>
        <v>102972</v>
      </c>
      <c r="G136" s="485">
        <f t="shared" si="40"/>
        <v>115600.5</v>
      </c>
      <c r="H136" s="486">
        <f t="shared" si="41"/>
        <v>38411.503770833733</v>
      </c>
      <c r="I136" s="542">
        <f t="shared" si="42"/>
        <v>38411.503770833733</v>
      </c>
      <c r="J136" s="478">
        <f t="shared" si="29"/>
        <v>0</v>
      </c>
      <c r="K136" s="478"/>
      <c r="L136" s="487"/>
      <c r="M136" s="478">
        <f t="shared" si="44"/>
        <v>0</v>
      </c>
      <c r="N136" s="487"/>
      <c r="O136" s="478">
        <f t="shared" si="45"/>
        <v>0</v>
      </c>
      <c r="P136" s="478">
        <f t="shared" si="46"/>
        <v>0</v>
      </c>
    </row>
    <row r="137" spans="2:16">
      <c r="B137" s="160" t="str">
        <f t="shared" si="28"/>
        <v/>
      </c>
      <c r="C137" s="472">
        <f>IF(D93="","-",+C136+1)</f>
        <v>2051</v>
      </c>
      <c r="D137" s="347">
        <f>IF(F136+SUM(E$99:E136)=D$92,F136,D$92-SUM(E$99:E136))</f>
        <v>102972</v>
      </c>
      <c r="E137" s="484">
        <f t="shared" si="38"/>
        <v>25257</v>
      </c>
      <c r="F137" s="485">
        <f t="shared" si="39"/>
        <v>77715</v>
      </c>
      <c r="G137" s="485">
        <f t="shared" si="40"/>
        <v>90343.5</v>
      </c>
      <c r="H137" s="486">
        <f t="shared" si="41"/>
        <v>35537.439197238054</v>
      </c>
      <c r="I137" s="542">
        <f t="shared" si="42"/>
        <v>35537.439197238054</v>
      </c>
      <c r="J137" s="478">
        <f t="shared" si="29"/>
        <v>0</v>
      </c>
      <c r="K137" s="478"/>
      <c r="L137" s="487"/>
      <c r="M137" s="478">
        <f t="shared" si="44"/>
        <v>0</v>
      </c>
      <c r="N137" s="487"/>
      <c r="O137" s="478">
        <f t="shared" si="45"/>
        <v>0</v>
      </c>
      <c r="P137" s="478">
        <f t="shared" si="46"/>
        <v>0</v>
      </c>
    </row>
    <row r="138" spans="2:16">
      <c r="B138" s="160" t="str">
        <f t="shared" si="28"/>
        <v/>
      </c>
      <c r="C138" s="472">
        <f>IF(D93="","-",+C137+1)</f>
        <v>2052</v>
      </c>
      <c r="D138" s="347">
        <f>IF(F137+SUM(E$99:E137)=D$92,F137,D$92-SUM(E$99:E137))</f>
        <v>77715</v>
      </c>
      <c r="E138" s="484">
        <f t="shared" si="38"/>
        <v>25257</v>
      </c>
      <c r="F138" s="485">
        <f t="shared" si="39"/>
        <v>52458</v>
      </c>
      <c r="G138" s="485">
        <f t="shared" si="40"/>
        <v>65086.5</v>
      </c>
      <c r="H138" s="486">
        <f t="shared" si="41"/>
        <v>32663.374623642369</v>
      </c>
      <c r="I138" s="542">
        <f t="shared" si="42"/>
        <v>32663.374623642369</v>
      </c>
      <c r="J138" s="478">
        <f t="shared" si="29"/>
        <v>0</v>
      </c>
      <c r="K138" s="478"/>
      <c r="L138" s="487"/>
      <c r="M138" s="478">
        <f t="shared" si="44"/>
        <v>0</v>
      </c>
      <c r="N138" s="487"/>
      <c r="O138" s="478">
        <f t="shared" si="45"/>
        <v>0</v>
      </c>
      <c r="P138" s="478">
        <f t="shared" si="46"/>
        <v>0</v>
      </c>
    </row>
    <row r="139" spans="2:16">
      <c r="B139" s="160" t="str">
        <f t="shared" si="28"/>
        <v/>
      </c>
      <c r="C139" s="472">
        <f>IF(D93="","-",+C138+1)</f>
        <v>2053</v>
      </c>
      <c r="D139" s="347">
        <f>IF(F138+SUM(E$99:E138)=D$92,F138,D$92-SUM(E$99:E138))</f>
        <v>52458</v>
      </c>
      <c r="E139" s="484">
        <f t="shared" si="38"/>
        <v>25257</v>
      </c>
      <c r="F139" s="485">
        <f t="shared" si="39"/>
        <v>27201</v>
      </c>
      <c r="G139" s="485">
        <f t="shared" si="40"/>
        <v>39829.5</v>
      </c>
      <c r="H139" s="486">
        <f t="shared" si="41"/>
        <v>29789.31005004669</v>
      </c>
      <c r="I139" s="542">
        <f t="shared" si="42"/>
        <v>29789.31005004669</v>
      </c>
      <c r="J139" s="478">
        <f t="shared" si="29"/>
        <v>0</v>
      </c>
      <c r="K139" s="478"/>
      <c r="L139" s="487"/>
      <c r="M139" s="478">
        <f t="shared" si="44"/>
        <v>0</v>
      </c>
      <c r="N139" s="487"/>
      <c r="O139" s="478">
        <f t="shared" si="45"/>
        <v>0</v>
      </c>
      <c r="P139" s="478">
        <f t="shared" si="46"/>
        <v>0</v>
      </c>
    </row>
    <row r="140" spans="2:16">
      <c r="B140" s="160" t="str">
        <f t="shared" si="28"/>
        <v/>
      </c>
      <c r="C140" s="472">
        <f>IF(D93="","-",+C139+1)</f>
        <v>2054</v>
      </c>
      <c r="D140" s="347">
        <f>IF(F139+SUM(E$99:E139)=D$92,F139,D$92-SUM(E$99:E139))</f>
        <v>27201</v>
      </c>
      <c r="E140" s="484">
        <f t="shared" si="38"/>
        <v>25257</v>
      </c>
      <c r="F140" s="485">
        <f t="shared" si="39"/>
        <v>1944</v>
      </c>
      <c r="G140" s="485">
        <f t="shared" si="40"/>
        <v>14572.5</v>
      </c>
      <c r="H140" s="486">
        <f t="shared" si="41"/>
        <v>26915.245476451008</v>
      </c>
      <c r="I140" s="542">
        <f t="shared" si="42"/>
        <v>26915.245476451008</v>
      </c>
      <c r="J140" s="478">
        <f t="shared" si="29"/>
        <v>0</v>
      </c>
      <c r="K140" s="478"/>
      <c r="L140" s="487"/>
      <c r="M140" s="478">
        <f t="shared" si="44"/>
        <v>0</v>
      </c>
      <c r="N140" s="487"/>
      <c r="O140" s="478">
        <f t="shared" si="45"/>
        <v>0</v>
      </c>
      <c r="P140" s="478">
        <f t="shared" si="46"/>
        <v>0</v>
      </c>
    </row>
    <row r="141" spans="2:16">
      <c r="B141" s="160" t="str">
        <f t="shared" si="28"/>
        <v/>
      </c>
      <c r="C141" s="472">
        <f>IF(D93="","-",+C140+1)</f>
        <v>2055</v>
      </c>
      <c r="D141" s="347">
        <f>IF(F140+SUM(E$99:E140)=D$92,F140,D$92-SUM(E$99:E140))</f>
        <v>1944</v>
      </c>
      <c r="E141" s="484">
        <f t="shared" si="38"/>
        <v>1944</v>
      </c>
      <c r="F141" s="485">
        <f t="shared" si="39"/>
        <v>0</v>
      </c>
      <c r="G141" s="485">
        <f t="shared" si="40"/>
        <v>972</v>
      </c>
      <c r="H141" s="486">
        <f t="shared" si="41"/>
        <v>2054.6065948265828</v>
      </c>
      <c r="I141" s="542">
        <f t="shared" si="42"/>
        <v>2054.6065948265828</v>
      </c>
      <c r="J141" s="478">
        <f t="shared" si="29"/>
        <v>0</v>
      </c>
      <c r="K141" s="478"/>
      <c r="L141" s="487"/>
      <c r="M141" s="478">
        <f t="shared" si="44"/>
        <v>0</v>
      </c>
      <c r="N141" s="487"/>
      <c r="O141" s="478">
        <f t="shared" si="45"/>
        <v>0</v>
      </c>
      <c r="P141" s="478">
        <f t="shared" si="46"/>
        <v>0</v>
      </c>
    </row>
    <row r="142" spans="2:16">
      <c r="B142" s="160" t="str">
        <f t="shared" si="28"/>
        <v/>
      </c>
      <c r="C142" s="472">
        <f>IF(D93="","-",+C141+1)</f>
        <v>2056</v>
      </c>
      <c r="D142" s="347">
        <f>IF(F141+SUM(E$99:E141)=D$92,F141,D$92-SUM(E$99:E141))</f>
        <v>0</v>
      </c>
      <c r="E142" s="484">
        <f t="shared" si="38"/>
        <v>0</v>
      </c>
      <c r="F142" s="485">
        <f t="shared" si="39"/>
        <v>0</v>
      </c>
      <c r="G142" s="485">
        <f t="shared" si="40"/>
        <v>0</v>
      </c>
      <c r="H142" s="486">
        <f t="shared" si="41"/>
        <v>0</v>
      </c>
      <c r="I142" s="542">
        <f t="shared" si="42"/>
        <v>0</v>
      </c>
      <c r="J142" s="478">
        <f t="shared" si="29"/>
        <v>0</v>
      </c>
      <c r="K142" s="478"/>
      <c r="L142" s="487"/>
      <c r="M142" s="478">
        <f t="shared" si="44"/>
        <v>0</v>
      </c>
      <c r="N142" s="487"/>
      <c r="O142" s="478">
        <f t="shared" si="45"/>
        <v>0</v>
      </c>
      <c r="P142" s="478">
        <f t="shared" si="46"/>
        <v>0</v>
      </c>
    </row>
    <row r="143" spans="2:16">
      <c r="B143" s="160" t="str">
        <f t="shared" si="28"/>
        <v/>
      </c>
      <c r="C143" s="472">
        <f>IF(D93="","-",+C142+1)</f>
        <v>2057</v>
      </c>
      <c r="D143" s="347">
        <f>IF(F142+SUM(E$99:E142)=D$92,F142,D$92-SUM(E$99:E142))</f>
        <v>0</v>
      </c>
      <c r="E143" s="484">
        <f t="shared" si="38"/>
        <v>0</v>
      </c>
      <c r="F143" s="485">
        <f t="shared" si="39"/>
        <v>0</v>
      </c>
      <c r="G143" s="485">
        <f t="shared" si="40"/>
        <v>0</v>
      </c>
      <c r="H143" s="486">
        <f t="shared" si="41"/>
        <v>0</v>
      </c>
      <c r="I143" s="542">
        <f t="shared" si="42"/>
        <v>0</v>
      </c>
      <c r="J143" s="478">
        <f t="shared" si="29"/>
        <v>0</v>
      </c>
      <c r="K143" s="478"/>
      <c r="L143" s="487"/>
      <c r="M143" s="478">
        <f t="shared" si="44"/>
        <v>0</v>
      </c>
      <c r="N143" s="487"/>
      <c r="O143" s="478">
        <f t="shared" si="45"/>
        <v>0</v>
      </c>
      <c r="P143" s="478">
        <f t="shared" si="46"/>
        <v>0</v>
      </c>
    </row>
    <row r="144" spans="2:16">
      <c r="B144" s="160" t="str">
        <f t="shared" si="28"/>
        <v/>
      </c>
      <c r="C144" s="472">
        <f>IF(D93="","-",+C143+1)</f>
        <v>2058</v>
      </c>
      <c r="D144" s="347">
        <f>IF(F143+SUM(E$99:E143)=D$92,F143,D$92-SUM(E$99:E143))</f>
        <v>0</v>
      </c>
      <c r="E144" s="484">
        <f t="shared" si="38"/>
        <v>0</v>
      </c>
      <c r="F144" s="485">
        <f t="shared" si="39"/>
        <v>0</v>
      </c>
      <c r="G144" s="485">
        <f t="shared" si="40"/>
        <v>0</v>
      </c>
      <c r="H144" s="486">
        <f t="shared" si="41"/>
        <v>0</v>
      </c>
      <c r="I144" s="542">
        <f t="shared" si="42"/>
        <v>0</v>
      </c>
      <c r="J144" s="478">
        <f t="shared" si="29"/>
        <v>0</v>
      </c>
      <c r="K144" s="478"/>
      <c r="L144" s="487"/>
      <c r="M144" s="478">
        <f t="shared" si="44"/>
        <v>0</v>
      </c>
      <c r="N144" s="487"/>
      <c r="O144" s="478">
        <f t="shared" si="45"/>
        <v>0</v>
      </c>
      <c r="P144" s="478">
        <f t="shared" si="46"/>
        <v>0</v>
      </c>
    </row>
    <row r="145" spans="2:16">
      <c r="B145" s="160" t="str">
        <f t="shared" si="28"/>
        <v/>
      </c>
      <c r="C145" s="472">
        <f>IF(D93="","-",+C144+1)</f>
        <v>2059</v>
      </c>
      <c r="D145" s="347">
        <f>IF(F144+SUM(E$99:E144)=D$92,F144,D$92-SUM(E$99:E144))</f>
        <v>0</v>
      </c>
      <c r="E145" s="484">
        <f t="shared" si="38"/>
        <v>0</v>
      </c>
      <c r="F145" s="485">
        <f t="shared" si="39"/>
        <v>0</v>
      </c>
      <c r="G145" s="485">
        <f t="shared" si="40"/>
        <v>0</v>
      </c>
      <c r="H145" s="486">
        <f t="shared" si="41"/>
        <v>0</v>
      </c>
      <c r="I145" s="542">
        <f t="shared" si="42"/>
        <v>0</v>
      </c>
      <c r="J145" s="478">
        <f t="shared" si="29"/>
        <v>0</v>
      </c>
      <c r="K145" s="478"/>
      <c r="L145" s="487"/>
      <c r="M145" s="478">
        <f t="shared" si="44"/>
        <v>0</v>
      </c>
      <c r="N145" s="487"/>
      <c r="O145" s="478">
        <f t="shared" si="45"/>
        <v>0</v>
      </c>
      <c r="P145" s="478">
        <f t="shared" si="46"/>
        <v>0</v>
      </c>
    </row>
    <row r="146" spans="2:16">
      <c r="B146" s="160" t="str">
        <f t="shared" si="28"/>
        <v/>
      </c>
      <c r="C146" s="472">
        <f>IF(D93="","-",+C145+1)</f>
        <v>2060</v>
      </c>
      <c r="D146" s="347">
        <f>IF(F145+SUM(E$99:E145)=D$92,F145,D$92-SUM(E$99:E145))</f>
        <v>0</v>
      </c>
      <c r="E146" s="484">
        <f t="shared" si="38"/>
        <v>0</v>
      </c>
      <c r="F146" s="485">
        <f t="shared" si="39"/>
        <v>0</v>
      </c>
      <c r="G146" s="485">
        <f t="shared" si="40"/>
        <v>0</v>
      </c>
      <c r="H146" s="486">
        <f t="shared" si="41"/>
        <v>0</v>
      </c>
      <c r="I146" s="542">
        <f t="shared" si="42"/>
        <v>0</v>
      </c>
      <c r="J146" s="478">
        <f t="shared" si="29"/>
        <v>0</v>
      </c>
      <c r="K146" s="478"/>
      <c r="L146" s="487"/>
      <c r="M146" s="478">
        <f t="shared" si="44"/>
        <v>0</v>
      </c>
      <c r="N146" s="487"/>
      <c r="O146" s="478">
        <f t="shared" si="45"/>
        <v>0</v>
      </c>
      <c r="P146" s="478">
        <f t="shared" si="46"/>
        <v>0</v>
      </c>
    </row>
    <row r="147" spans="2:16">
      <c r="B147" s="160" t="str">
        <f t="shared" si="28"/>
        <v/>
      </c>
      <c r="C147" s="472">
        <f>IF(D93="","-",+C146+1)</f>
        <v>2061</v>
      </c>
      <c r="D147" s="347">
        <f>IF(F146+SUM(E$99:E146)=D$92,F146,D$92-SUM(E$99:E146))</f>
        <v>0</v>
      </c>
      <c r="E147" s="484">
        <f t="shared" si="38"/>
        <v>0</v>
      </c>
      <c r="F147" s="485">
        <f t="shared" si="39"/>
        <v>0</v>
      </c>
      <c r="G147" s="485">
        <f t="shared" si="40"/>
        <v>0</v>
      </c>
      <c r="H147" s="486">
        <f t="shared" si="41"/>
        <v>0</v>
      </c>
      <c r="I147" s="542">
        <f t="shared" si="42"/>
        <v>0</v>
      </c>
      <c r="J147" s="478">
        <f t="shared" si="29"/>
        <v>0</v>
      </c>
      <c r="K147" s="478"/>
      <c r="L147" s="487"/>
      <c r="M147" s="478">
        <f t="shared" si="44"/>
        <v>0</v>
      </c>
      <c r="N147" s="487"/>
      <c r="O147" s="478">
        <f t="shared" si="45"/>
        <v>0</v>
      </c>
      <c r="P147" s="478">
        <f t="shared" si="46"/>
        <v>0</v>
      </c>
    </row>
    <row r="148" spans="2:16">
      <c r="B148" s="160" t="str">
        <f t="shared" si="28"/>
        <v/>
      </c>
      <c r="C148" s="472">
        <f>IF(D93="","-",+C147+1)</f>
        <v>2062</v>
      </c>
      <c r="D148" s="347">
        <f>IF(F147+SUM(E$99:E147)=D$92,F147,D$92-SUM(E$99:E147))</f>
        <v>0</v>
      </c>
      <c r="E148" s="484">
        <f t="shared" si="38"/>
        <v>0</v>
      </c>
      <c r="F148" s="485">
        <f t="shared" si="39"/>
        <v>0</v>
      </c>
      <c r="G148" s="485">
        <f t="shared" si="40"/>
        <v>0</v>
      </c>
      <c r="H148" s="486">
        <f t="shared" si="41"/>
        <v>0</v>
      </c>
      <c r="I148" s="542">
        <f t="shared" si="42"/>
        <v>0</v>
      </c>
      <c r="J148" s="478">
        <f t="shared" si="29"/>
        <v>0</v>
      </c>
      <c r="K148" s="478"/>
      <c r="L148" s="487"/>
      <c r="M148" s="478">
        <f t="shared" si="44"/>
        <v>0</v>
      </c>
      <c r="N148" s="487"/>
      <c r="O148" s="478">
        <f t="shared" si="45"/>
        <v>0</v>
      </c>
      <c r="P148" s="478">
        <f t="shared" si="46"/>
        <v>0</v>
      </c>
    </row>
    <row r="149" spans="2:16">
      <c r="B149" s="160" t="str">
        <f t="shared" si="28"/>
        <v/>
      </c>
      <c r="C149" s="472">
        <f>IF(D93="","-",+C148+1)</f>
        <v>2063</v>
      </c>
      <c r="D149" s="347">
        <f>IF(F148+SUM(E$99:E148)=D$92,F148,D$92-SUM(E$99:E148))</f>
        <v>0</v>
      </c>
      <c r="E149" s="484">
        <f t="shared" si="38"/>
        <v>0</v>
      </c>
      <c r="F149" s="485">
        <f t="shared" si="39"/>
        <v>0</v>
      </c>
      <c r="G149" s="485">
        <f t="shared" si="40"/>
        <v>0</v>
      </c>
      <c r="H149" s="486">
        <f t="shared" si="41"/>
        <v>0</v>
      </c>
      <c r="I149" s="542">
        <f t="shared" si="42"/>
        <v>0</v>
      </c>
      <c r="J149" s="478">
        <f t="shared" si="29"/>
        <v>0</v>
      </c>
      <c r="K149" s="478"/>
      <c r="L149" s="487"/>
      <c r="M149" s="478">
        <f t="shared" si="44"/>
        <v>0</v>
      </c>
      <c r="N149" s="487"/>
      <c r="O149" s="478">
        <f t="shared" si="45"/>
        <v>0</v>
      </c>
      <c r="P149" s="478">
        <f t="shared" si="46"/>
        <v>0</v>
      </c>
    </row>
    <row r="150" spans="2:16">
      <c r="B150" s="160" t="str">
        <f t="shared" si="28"/>
        <v/>
      </c>
      <c r="C150" s="472">
        <f>IF(D93="","-",+C149+1)</f>
        <v>2064</v>
      </c>
      <c r="D150" s="347">
        <f>IF(F149+SUM(E$99:E149)=D$92,F149,D$92-SUM(E$99:E149))</f>
        <v>0</v>
      </c>
      <c r="E150" s="484">
        <f t="shared" si="38"/>
        <v>0</v>
      </c>
      <c r="F150" s="485">
        <f t="shared" si="39"/>
        <v>0</v>
      </c>
      <c r="G150" s="485">
        <f t="shared" si="40"/>
        <v>0</v>
      </c>
      <c r="H150" s="486">
        <f t="shared" si="41"/>
        <v>0</v>
      </c>
      <c r="I150" s="542">
        <f t="shared" si="42"/>
        <v>0</v>
      </c>
      <c r="J150" s="478">
        <f t="shared" si="29"/>
        <v>0</v>
      </c>
      <c r="K150" s="478"/>
      <c r="L150" s="487"/>
      <c r="M150" s="478">
        <f t="shared" si="44"/>
        <v>0</v>
      </c>
      <c r="N150" s="487"/>
      <c r="O150" s="478">
        <f t="shared" si="45"/>
        <v>0</v>
      </c>
      <c r="P150" s="478">
        <f t="shared" si="46"/>
        <v>0</v>
      </c>
    </row>
    <row r="151" spans="2:16">
      <c r="B151" s="160" t="str">
        <f t="shared" si="28"/>
        <v/>
      </c>
      <c r="C151" s="472">
        <f>IF(D93="","-",+C150+1)</f>
        <v>2065</v>
      </c>
      <c r="D151" s="347">
        <f>IF(F150+SUM(E$99:E150)=D$92,F150,D$92-SUM(E$99:E150))</f>
        <v>0</v>
      </c>
      <c r="E151" s="484">
        <f t="shared" si="38"/>
        <v>0</v>
      </c>
      <c r="F151" s="485">
        <f t="shared" si="39"/>
        <v>0</v>
      </c>
      <c r="G151" s="485">
        <f t="shared" si="40"/>
        <v>0</v>
      </c>
      <c r="H151" s="486">
        <f t="shared" si="41"/>
        <v>0</v>
      </c>
      <c r="I151" s="542">
        <f t="shared" si="42"/>
        <v>0</v>
      </c>
      <c r="J151" s="478">
        <f t="shared" si="29"/>
        <v>0</v>
      </c>
      <c r="K151" s="478"/>
      <c r="L151" s="487"/>
      <c r="M151" s="478">
        <f t="shared" si="44"/>
        <v>0</v>
      </c>
      <c r="N151" s="487"/>
      <c r="O151" s="478">
        <f t="shared" si="45"/>
        <v>0</v>
      </c>
      <c r="P151" s="478">
        <f t="shared" si="46"/>
        <v>0</v>
      </c>
    </row>
    <row r="152" spans="2:16">
      <c r="B152" s="160" t="str">
        <f t="shared" si="28"/>
        <v/>
      </c>
      <c r="C152" s="472">
        <f>IF(D93="","-",+C151+1)</f>
        <v>2066</v>
      </c>
      <c r="D152" s="347">
        <f>IF(F151+SUM(E$99:E151)=D$92,F151,D$92-SUM(E$99:E151))</f>
        <v>0</v>
      </c>
      <c r="E152" s="484">
        <f t="shared" si="38"/>
        <v>0</v>
      </c>
      <c r="F152" s="485">
        <f t="shared" si="39"/>
        <v>0</v>
      </c>
      <c r="G152" s="485">
        <f t="shared" si="40"/>
        <v>0</v>
      </c>
      <c r="H152" s="486">
        <f t="shared" si="41"/>
        <v>0</v>
      </c>
      <c r="I152" s="542">
        <f t="shared" si="42"/>
        <v>0</v>
      </c>
      <c r="J152" s="478">
        <f t="shared" si="29"/>
        <v>0</v>
      </c>
      <c r="K152" s="478"/>
      <c r="L152" s="487"/>
      <c r="M152" s="478">
        <f t="shared" si="44"/>
        <v>0</v>
      </c>
      <c r="N152" s="487"/>
      <c r="O152" s="478">
        <f t="shared" si="45"/>
        <v>0</v>
      </c>
      <c r="P152" s="478">
        <f t="shared" si="46"/>
        <v>0</v>
      </c>
    </row>
    <row r="153" spans="2:16">
      <c r="B153" s="160" t="str">
        <f t="shared" si="28"/>
        <v/>
      </c>
      <c r="C153" s="472">
        <f>IF(D93="","-",+C152+1)</f>
        <v>2067</v>
      </c>
      <c r="D153" s="347">
        <f>IF(F152+SUM(E$99:E152)=D$92,F152,D$92-SUM(E$99:E152))</f>
        <v>0</v>
      </c>
      <c r="E153" s="484">
        <f t="shared" si="38"/>
        <v>0</v>
      </c>
      <c r="F153" s="485">
        <f t="shared" si="39"/>
        <v>0</v>
      </c>
      <c r="G153" s="485">
        <f t="shared" si="40"/>
        <v>0</v>
      </c>
      <c r="H153" s="488">
        <f t="shared" ref="H153:H154" si="47">+J$94*G153+E153</f>
        <v>0</v>
      </c>
      <c r="I153" s="542">
        <f t="shared" ref="I153:I154" si="48">+J$95*G153+E153</f>
        <v>0</v>
      </c>
      <c r="J153" s="478">
        <f t="shared" si="29"/>
        <v>0</v>
      </c>
      <c r="K153" s="478"/>
      <c r="L153" s="487"/>
      <c r="M153" s="478">
        <f t="shared" si="44"/>
        <v>0</v>
      </c>
      <c r="N153" s="487"/>
      <c r="O153" s="478">
        <f t="shared" si="45"/>
        <v>0</v>
      </c>
      <c r="P153" s="478">
        <f t="shared" si="46"/>
        <v>0</v>
      </c>
    </row>
    <row r="154" spans="2:16" ht="13.5" thickBot="1">
      <c r="B154" s="160" t="str">
        <f t="shared" si="28"/>
        <v/>
      </c>
      <c r="C154" s="489">
        <f>IF(D93="","-",+C153+1)</f>
        <v>2068</v>
      </c>
      <c r="D154" s="576">
        <f>IF(F153+SUM(E$99:E153)=D$92,F153,D$92-SUM(E$99:E153))</f>
        <v>0</v>
      </c>
      <c r="E154" s="491">
        <f t="shared" si="38"/>
        <v>0</v>
      </c>
      <c r="F154" s="490">
        <f t="shared" si="39"/>
        <v>0</v>
      </c>
      <c r="G154" s="490">
        <f t="shared" si="40"/>
        <v>0</v>
      </c>
      <c r="H154" s="492">
        <f t="shared" si="47"/>
        <v>0</v>
      </c>
      <c r="I154" s="545">
        <f t="shared" si="48"/>
        <v>0</v>
      </c>
      <c r="J154" s="495">
        <f t="shared" si="29"/>
        <v>0</v>
      </c>
      <c r="K154" s="495"/>
      <c r="L154" s="494"/>
      <c r="M154" s="495">
        <f t="shared" si="44"/>
        <v>0</v>
      </c>
      <c r="N154" s="494"/>
      <c r="O154" s="495">
        <f t="shared" si="45"/>
        <v>0</v>
      </c>
      <c r="P154" s="495">
        <f t="shared" si="46"/>
        <v>0</v>
      </c>
    </row>
    <row r="155" spans="2:16">
      <c r="C155" s="347" t="s">
        <v>77</v>
      </c>
      <c r="D155" s="348"/>
      <c r="E155" s="348">
        <f>SUM(E99:E154)</f>
        <v>1035552</v>
      </c>
      <c r="F155" s="348"/>
      <c r="G155" s="348"/>
      <c r="H155" s="348">
        <f>SUM(H99:H154)</f>
        <v>3587102.7031079456</v>
      </c>
      <c r="I155" s="348">
        <f>SUM(I99:I154)</f>
        <v>3587102.7031079456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33" priority="1" stopIfTrue="1" operator="equal">
      <formula>$I$10</formula>
    </cfRule>
  </conditionalFormatting>
  <conditionalFormatting sqref="C99:C154">
    <cfRule type="cellIs" dxfId="32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4"/>
  <dimension ref="A1:P162"/>
  <sheetViews>
    <sheetView zoomScaleNormal="100" zoomScaleSheetLayoutView="80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15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253094.17604651162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253094.17604651162</v>
      </c>
      <c r="O6" s="233"/>
      <c r="P6" s="233"/>
    </row>
    <row r="7" spans="1:16" ht="13.5" thickBot="1">
      <c r="C7" s="431" t="s">
        <v>46</v>
      </c>
      <c r="D7" s="599" t="s">
        <v>253</v>
      </c>
      <c r="E7" s="600"/>
      <c r="F7" s="600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572" t="s">
        <v>252</v>
      </c>
      <c r="E9" s="577" t="s">
        <v>261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2246628.5699999998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2014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2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52247.176046511624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2014</v>
      </c>
      <c r="D17" s="584">
        <v>2295000</v>
      </c>
      <c r="E17" s="608">
        <v>36778.846153846156</v>
      </c>
      <c r="F17" s="584">
        <v>2258221.153846154</v>
      </c>
      <c r="G17" s="608">
        <v>347642.78736560291</v>
      </c>
      <c r="H17" s="587">
        <v>347642.78736560291</v>
      </c>
      <c r="I17" s="475">
        <v>0</v>
      </c>
      <c r="J17" s="475"/>
      <c r="K17" s="476">
        <f t="shared" ref="K17:K22" si="0">G17</f>
        <v>347642.78736560291</v>
      </c>
      <c r="L17" s="603">
        <f t="shared" ref="L17:L22" si="1">IF(K17&lt;&gt;0,+G17-K17,0)</f>
        <v>0</v>
      </c>
      <c r="M17" s="476">
        <f t="shared" ref="M17:M22" si="2">H17</f>
        <v>347642.78736560291</v>
      </c>
      <c r="N17" s="478">
        <f>IF(M17&lt;&gt;0,+H17-M17,0)</f>
        <v>0</v>
      </c>
      <c r="O17" s="475">
        <f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2015</v>
      </c>
      <c r="D18" s="584">
        <v>2258221.153846154</v>
      </c>
      <c r="E18" s="585">
        <v>43204.395576923074</v>
      </c>
      <c r="F18" s="584">
        <v>2215016.7582692308</v>
      </c>
      <c r="G18" s="585">
        <v>348592.42580485216</v>
      </c>
      <c r="H18" s="587">
        <v>348592.42580485216</v>
      </c>
      <c r="I18" s="475">
        <v>0</v>
      </c>
      <c r="J18" s="475"/>
      <c r="K18" s="476">
        <f t="shared" si="0"/>
        <v>348592.42580485216</v>
      </c>
      <c r="L18" s="603">
        <f t="shared" si="1"/>
        <v>0</v>
      </c>
      <c r="M18" s="476">
        <f t="shared" si="2"/>
        <v>348592.42580485216</v>
      </c>
      <c r="N18" s="478">
        <f>IF(M18&lt;&gt;0,+H18-M18,0)</f>
        <v>0</v>
      </c>
      <c r="O18" s="475">
        <f>+N18-L18</f>
        <v>0</v>
      </c>
      <c r="P18" s="243"/>
    </row>
    <row r="19" spans="2:16">
      <c r="B19" s="160" t="str">
        <f>IF(D19=F18,"","IU")</f>
        <v>IU</v>
      </c>
      <c r="C19" s="472">
        <f>IF(D11="","-",+C18+1)</f>
        <v>2016</v>
      </c>
      <c r="D19" s="584">
        <v>2166645.3282692307</v>
      </c>
      <c r="E19" s="585">
        <v>43204.395576923074</v>
      </c>
      <c r="F19" s="584">
        <v>2123440.9326923075</v>
      </c>
      <c r="G19" s="585">
        <v>321714.3955769231</v>
      </c>
      <c r="H19" s="587">
        <v>321714.3955769231</v>
      </c>
      <c r="I19" s="475">
        <f>H19-G19</f>
        <v>0</v>
      </c>
      <c r="J19" s="475"/>
      <c r="K19" s="476">
        <f t="shared" si="0"/>
        <v>321714.3955769231</v>
      </c>
      <c r="L19" s="603">
        <f t="shared" si="1"/>
        <v>0</v>
      </c>
      <c r="M19" s="476">
        <f t="shared" si="2"/>
        <v>321714.3955769231</v>
      </c>
      <c r="N19" s="478">
        <f>IF(M19&lt;&gt;0,+H19-M19,0)</f>
        <v>0</v>
      </c>
      <c r="O19" s="475">
        <f>+N19-L19</f>
        <v>0</v>
      </c>
      <c r="P19" s="243"/>
    </row>
    <row r="20" spans="2:16">
      <c r="B20" s="160" t="str">
        <f t="shared" ref="B20:B72" si="3">IF(D20=F19,"","IU")</f>
        <v/>
      </c>
      <c r="C20" s="472">
        <f>IF(D11="","-",+C19+1)</f>
        <v>2017</v>
      </c>
      <c r="D20" s="584">
        <v>2123440.9326923075</v>
      </c>
      <c r="E20" s="585">
        <v>48839.751521739126</v>
      </c>
      <c r="F20" s="584">
        <v>2074601.1811705683</v>
      </c>
      <c r="G20" s="585">
        <v>312854.75152173912</v>
      </c>
      <c r="H20" s="587">
        <v>312854.75152173912</v>
      </c>
      <c r="I20" s="475">
        <f t="shared" ref="I20:I72" si="4">H20-G20</f>
        <v>0</v>
      </c>
      <c r="J20" s="475"/>
      <c r="K20" s="476">
        <f t="shared" si="0"/>
        <v>312854.75152173912</v>
      </c>
      <c r="L20" s="603">
        <f t="shared" si="1"/>
        <v>0</v>
      </c>
      <c r="M20" s="476">
        <f t="shared" si="2"/>
        <v>312854.75152173912</v>
      </c>
      <c r="N20" s="478">
        <f>IF(M20&lt;&gt;0,+H20-M20,0)</f>
        <v>0</v>
      </c>
      <c r="O20" s="475">
        <f>+N20-L20</f>
        <v>0</v>
      </c>
      <c r="P20" s="243"/>
    </row>
    <row r="21" spans="2:16">
      <c r="B21" s="160" t="str">
        <f t="shared" si="3"/>
        <v/>
      </c>
      <c r="C21" s="472">
        <f>IF(D11="","-",+C20+1)</f>
        <v>2018</v>
      </c>
      <c r="D21" s="584">
        <v>2074601.1811705683</v>
      </c>
      <c r="E21" s="585">
        <v>49925.079333333328</v>
      </c>
      <c r="F21" s="584">
        <v>2024676.101837235</v>
      </c>
      <c r="G21" s="585">
        <v>323935.0793333333</v>
      </c>
      <c r="H21" s="587">
        <v>323935.0793333333</v>
      </c>
      <c r="I21" s="475">
        <f t="shared" si="4"/>
        <v>0</v>
      </c>
      <c r="J21" s="475"/>
      <c r="K21" s="476">
        <f t="shared" si="0"/>
        <v>323935.0793333333</v>
      </c>
      <c r="L21" s="603">
        <f t="shared" si="1"/>
        <v>0</v>
      </c>
      <c r="M21" s="476">
        <f t="shared" si="2"/>
        <v>323935.0793333333</v>
      </c>
      <c r="N21" s="478">
        <f>IF(M21&lt;&gt;0,+H21-M21,0)</f>
        <v>0</v>
      </c>
      <c r="O21" s="475">
        <f>+N21-L21</f>
        <v>0</v>
      </c>
      <c r="P21" s="243"/>
    </row>
    <row r="22" spans="2:16">
      <c r="B22" s="160" t="str">
        <f t="shared" si="3"/>
        <v/>
      </c>
      <c r="C22" s="472">
        <f>IF(D11="","-",+C21+1)</f>
        <v>2019</v>
      </c>
      <c r="D22" s="584">
        <v>2024676.101837235</v>
      </c>
      <c r="E22" s="585">
        <v>49925.079333333328</v>
      </c>
      <c r="F22" s="584">
        <v>1974751.0225039017</v>
      </c>
      <c r="G22" s="585">
        <v>317179.0793333333</v>
      </c>
      <c r="H22" s="587">
        <v>317179.0793333333</v>
      </c>
      <c r="I22" s="475">
        <f t="shared" si="4"/>
        <v>0</v>
      </c>
      <c r="J22" s="475"/>
      <c r="K22" s="476">
        <f t="shared" si="0"/>
        <v>317179.0793333333</v>
      </c>
      <c r="L22" s="603">
        <f t="shared" si="1"/>
        <v>0</v>
      </c>
      <c r="M22" s="476">
        <f t="shared" si="2"/>
        <v>317179.0793333333</v>
      </c>
      <c r="N22" s="478">
        <f t="shared" ref="N22:N72" si="5">IF(M22&lt;&gt;0,+H22-M22,0)</f>
        <v>0</v>
      </c>
      <c r="O22" s="478">
        <f t="shared" ref="O22:O72" si="6">+N22-L22</f>
        <v>0</v>
      </c>
      <c r="P22" s="243"/>
    </row>
    <row r="23" spans="2:16">
      <c r="B23" s="160" t="str">
        <f t="shared" si="3"/>
        <v/>
      </c>
      <c r="C23" s="472">
        <f>IF(D11="","-",+C22+1)</f>
        <v>2020</v>
      </c>
      <c r="D23" s="584">
        <v>1974751.0225039017</v>
      </c>
      <c r="E23" s="585">
        <v>53491.156428571427</v>
      </c>
      <c r="F23" s="584">
        <v>1921259.8660753304</v>
      </c>
      <c r="G23" s="585">
        <v>263885.04985844565</v>
      </c>
      <c r="H23" s="587">
        <v>263885.04985844565</v>
      </c>
      <c r="I23" s="475">
        <f t="shared" si="4"/>
        <v>0</v>
      </c>
      <c r="J23" s="475"/>
      <c r="K23" s="476">
        <f t="shared" ref="K23" si="7">G23</f>
        <v>263885.04985844565</v>
      </c>
      <c r="L23" s="603">
        <f t="shared" ref="L23" si="8">IF(K23&lt;&gt;0,+G23-K23,0)</f>
        <v>0</v>
      </c>
      <c r="M23" s="476">
        <f t="shared" ref="M23" si="9">H23</f>
        <v>263885.04985844565</v>
      </c>
      <c r="N23" s="478">
        <f t="shared" si="5"/>
        <v>0</v>
      </c>
      <c r="O23" s="478">
        <f t="shared" si="6"/>
        <v>0</v>
      </c>
      <c r="P23" s="243"/>
    </row>
    <row r="24" spans="2:16">
      <c r="B24" s="160" t="str">
        <f t="shared" si="3"/>
        <v>IU</v>
      </c>
      <c r="C24" s="472">
        <f>IF(D11="","-",+C23+1)</f>
        <v>2021</v>
      </c>
      <c r="D24" s="584">
        <v>1915019.2311586635</v>
      </c>
      <c r="E24" s="585">
        <v>52247.176046511624</v>
      </c>
      <c r="F24" s="584">
        <v>1862772.0551121519</v>
      </c>
      <c r="G24" s="585">
        <v>253094.17604651162</v>
      </c>
      <c r="H24" s="587">
        <v>253094.17604651162</v>
      </c>
      <c r="I24" s="475">
        <f t="shared" si="4"/>
        <v>0</v>
      </c>
      <c r="J24" s="475"/>
      <c r="K24" s="476">
        <f t="shared" ref="K24" si="10">G24</f>
        <v>253094.17604651162</v>
      </c>
      <c r="L24" s="603">
        <f t="shared" ref="L24" si="11">IF(K24&lt;&gt;0,+G24-K24,0)</f>
        <v>0</v>
      </c>
      <c r="M24" s="476">
        <f t="shared" ref="M24" si="12">H24</f>
        <v>253094.17604651162</v>
      </c>
      <c r="N24" s="478">
        <f t="shared" si="5"/>
        <v>0</v>
      </c>
      <c r="O24" s="478">
        <f t="shared" si="6"/>
        <v>0</v>
      </c>
      <c r="P24" s="243"/>
    </row>
    <row r="25" spans="2:16">
      <c r="B25" s="160" t="str">
        <f t="shared" si="3"/>
        <v>IU</v>
      </c>
      <c r="C25" s="472">
        <f>IF(D11="","-",+C24+1)</f>
        <v>2022</v>
      </c>
      <c r="D25" s="485">
        <f>IF(F24+SUM(E$17:E24)=D$10,F24,D$10-SUM(E$17:E24))</f>
        <v>1869012.6900288188</v>
      </c>
      <c r="E25" s="484">
        <f t="shared" ref="E25:E72" si="13">IF(+$I$14&lt;F24,$I$14,D25)</f>
        <v>52247.176046511624</v>
      </c>
      <c r="F25" s="485">
        <f t="shared" ref="F25:F72" si="14">+D25-E25</f>
        <v>1816765.5139823072</v>
      </c>
      <c r="G25" s="486">
        <f t="shared" ref="G25:G72" si="15">(D25+F25)/2*I$12+E25</f>
        <v>264283.24240800145</v>
      </c>
      <c r="H25" s="455">
        <f t="shared" ref="H25:H72" si="16">+(D25+F25)/2*I$13+E25</f>
        <v>264283.24240800145</v>
      </c>
      <c r="I25" s="475">
        <f t="shared" si="4"/>
        <v>0</v>
      </c>
      <c r="J25" s="475"/>
      <c r="K25" s="487"/>
      <c r="L25" s="478">
        <f t="shared" ref="L25:L72" si="17">IF(K25&lt;&gt;0,+G25-K25,0)</f>
        <v>0</v>
      </c>
      <c r="M25" s="487"/>
      <c r="N25" s="478">
        <f t="shared" si="5"/>
        <v>0</v>
      </c>
      <c r="O25" s="478">
        <f t="shared" si="6"/>
        <v>0</v>
      </c>
      <c r="P25" s="243"/>
    </row>
    <row r="26" spans="2:16">
      <c r="B26" s="160" t="str">
        <f t="shared" si="3"/>
        <v/>
      </c>
      <c r="C26" s="472">
        <f>IF(D11="","-",+C25+1)</f>
        <v>2023</v>
      </c>
      <c r="D26" s="485">
        <f>IF(F25+SUM(E$17:E25)=D$10,F25,D$10-SUM(E$17:E25))</f>
        <v>1816765.5139823072</v>
      </c>
      <c r="E26" s="484">
        <f t="shared" si="13"/>
        <v>52247.176046511624</v>
      </c>
      <c r="F26" s="485">
        <f t="shared" si="14"/>
        <v>1764518.3379357955</v>
      </c>
      <c r="G26" s="486">
        <f t="shared" si="15"/>
        <v>258271.87380457198</v>
      </c>
      <c r="H26" s="455">
        <f t="shared" si="16"/>
        <v>258271.87380457198</v>
      </c>
      <c r="I26" s="475">
        <f t="shared" si="4"/>
        <v>0</v>
      </c>
      <c r="J26" s="475"/>
      <c r="K26" s="487"/>
      <c r="L26" s="478">
        <f t="shared" si="17"/>
        <v>0</v>
      </c>
      <c r="M26" s="487"/>
      <c r="N26" s="478">
        <f t="shared" si="5"/>
        <v>0</v>
      </c>
      <c r="O26" s="478">
        <f t="shared" si="6"/>
        <v>0</v>
      </c>
      <c r="P26" s="243"/>
    </row>
    <row r="27" spans="2:16">
      <c r="B27" s="160" t="str">
        <f t="shared" si="3"/>
        <v/>
      </c>
      <c r="C27" s="472">
        <f>IF(D11="","-",+C26+1)</f>
        <v>2024</v>
      </c>
      <c r="D27" s="485">
        <f>IF(F26+SUM(E$17:E26)=D$10,F26,D$10-SUM(E$17:E26))</f>
        <v>1764518.3379357955</v>
      </c>
      <c r="E27" s="484">
        <f t="shared" si="13"/>
        <v>52247.176046511624</v>
      </c>
      <c r="F27" s="485">
        <f t="shared" si="14"/>
        <v>1712271.1618892839</v>
      </c>
      <c r="G27" s="486">
        <f t="shared" si="15"/>
        <v>252260.50520114251</v>
      </c>
      <c r="H27" s="455">
        <f t="shared" si="16"/>
        <v>252260.50520114251</v>
      </c>
      <c r="I27" s="475">
        <f t="shared" si="4"/>
        <v>0</v>
      </c>
      <c r="J27" s="475"/>
      <c r="K27" s="487"/>
      <c r="L27" s="478">
        <f t="shared" si="17"/>
        <v>0</v>
      </c>
      <c r="M27" s="487"/>
      <c r="N27" s="478">
        <f t="shared" si="5"/>
        <v>0</v>
      </c>
      <c r="O27" s="478">
        <f t="shared" si="6"/>
        <v>0</v>
      </c>
      <c r="P27" s="243"/>
    </row>
    <row r="28" spans="2:16">
      <c r="B28" s="160" t="str">
        <f t="shared" si="3"/>
        <v/>
      </c>
      <c r="C28" s="472">
        <f>IF(D11="","-",+C27+1)</f>
        <v>2025</v>
      </c>
      <c r="D28" s="485">
        <f>IF(F27+SUM(E$17:E27)=D$10,F27,D$10-SUM(E$17:E27))</f>
        <v>1712271.1618892839</v>
      </c>
      <c r="E28" s="484">
        <f t="shared" si="13"/>
        <v>52247.176046511624</v>
      </c>
      <c r="F28" s="485">
        <f t="shared" si="14"/>
        <v>1660023.9858427723</v>
      </c>
      <c r="G28" s="486">
        <f t="shared" si="15"/>
        <v>246249.13659771305</v>
      </c>
      <c r="H28" s="455">
        <f t="shared" si="16"/>
        <v>246249.13659771305</v>
      </c>
      <c r="I28" s="475">
        <f t="shared" si="4"/>
        <v>0</v>
      </c>
      <c r="J28" s="475"/>
      <c r="K28" s="487"/>
      <c r="L28" s="478">
        <f t="shared" si="17"/>
        <v>0</v>
      </c>
      <c r="M28" s="487"/>
      <c r="N28" s="478">
        <f t="shared" si="5"/>
        <v>0</v>
      </c>
      <c r="O28" s="478">
        <f t="shared" si="6"/>
        <v>0</v>
      </c>
      <c r="P28" s="243"/>
    </row>
    <row r="29" spans="2:16">
      <c r="B29" s="160" t="str">
        <f t="shared" si="3"/>
        <v/>
      </c>
      <c r="C29" s="472">
        <f>IF(D11="","-",+C28+1)</f>
        <v>2026</v>
      </c>
      <c r="D29" s="485">
        <f>IF(F28+SUM(E$17:E28)=D$10,F28,D$10-SUM(E$17:E28))</f>
        <v>1660023.9858427723</v>
      </c>
      <c r="E29" s="484">
        <f t="shared" si="13"/>
        <v>52247.176046511624</v>
      </c>
      <c r="F29" s="485">
        <f t="shared" si="14"/>
        <v>1607776.8097962607</v>
      </c>
      <c r="G29" s="486">
        <f t="shared" si="15"/>
        <v>240237.76799428355</v>
      </c>
      <c r="H29" s="455">
        <f t="shared" si="16"/>
        <v>240237.76799428355</v>
      </c>
      <c r="I29" s="475">
        <f t="shared" si="4"/>
        <v>0</v>
      </c>
      <c r="J29" s="475"/>
      <c r="K29" s="487"/>
      <c r="L29" s="478">
        <f t="shared" si="17"/>
        <v>0</v>
      </c>
      <c r="M29" s="487"/>
      <c r="N29" s="478">
        <f t="shared" si="5"/>
        <v>0</v>
      </c>
      <c r="O29" s="478">
        <f t="shared" si="6"/>
        <v>0</v>
      </c>
      <c r="P29" s="243"/>
    </row>
    <row r="30" spans="2:16">
      <c r="B30" s="160" t="str">
        <f t="shared" si="3"/>
        <v/>
      </c>
      <c r="C30" s="472">
        <f>IF(D11="","-",+C29+1)</f>
        <v>2027</v>
      </c>
      <c r="D30" s="485">
        <f>IF(F29+SUM(E$17:E29)=D$10,F29,D$10-SUM(E$17:E29))</f>
        <v>1607776.8097962607</v>
      </c>
      <c r="E30" s="484">
        <f t="shared" si="13"/>
        <v>52247.176046511624</v>
      </c>
      <c r="F30" s="485">
        <f t="shared" si="14"/>
        <v>1555529.633749749</v>
      </c>
      <c r="G30" s="486">
        <f t="shared" si="15"/>
        <v>234226.39939085409</v>
      </c>
      <c r="H30" s="455">
        <f t="shared" si="16"/>
        <v>234226.39939085409</v>
      </c>
      <c r="I30" s="475">
        <f t="shared" si="4"/>
        <v>0</v>
      </c>
      <c r="J30" s="475"/>
      <c r="K30" s="487"/>
      <c r="L30" s="478">
        <f t="shared" si="17"/>
        <v>0</v>
      </c>
      <c r="M30" s="487"/>
      <c r="N30" s="478">
        <f t="shared" si="5"/>
        <v>0</v>
      </c>
      <c r="O30" s="478">
        <f t="shared" si="6"/>
        <v>0</v>
      </c>
      <c r="P30" s="243"/>
    </row>
    <row r="31" spans="2:16">
      <c r="B31" s="160" t="str">
        <f t="shared" si="3"/>
        <v/>
      </c>
      <c r="C31" s="472">
        <f>IF(D11="","-",+C30+1)</f>
        <v>2028</v>
      </c>
      <c r="D31" s="485">
        <f>IF(F30+SUM(E$17:E30)=D$10,F30,D$10-SUM(E$17:E30))</f>
        <v>1555529.633749749</v>
      </c>
      <c r="E31" s="484">
        <f t="shared" si="13"/>
        <v>52247.176046511624</v>
      </c>
      <c r="F31" s="485">
        <f t="shared" si="14"/>
        <v>1503282.4577032374</v>
      </c>
      <c r="G31" s="486">
        <f t="shared" si="15"/>
        <v>228215.03078742462</v>
      </c>
      <c r="H31" s="455">
        <f t="shared" si="16"/>
        <v>228215.03078742462</v>
      </c>
      <c r="I31" s="475">
        <f t="shared" si="4"/>
        <v>0</v>
      </c>
      <c r="J31" s="475"/>
      <c r="K31" s="487"/>
      <c r="L31" s="478">
        <f t="shared" si="17"/>
        <v>0</v>
      </c>
      <c r="M31" s="487"/>
      <c r="N31" s="478">
        <f t="shared" si="5"/>
        <v>0</v>
      </c>
      <c r="O31" s="478">
        <f t="shared" si="6"/>
        <v>0</v>
      </c>
      <c r="P31" s="243"/>
    </row>
    <row r="32" spans="2:16">
      <c r="B32" s="160" t="str">
        <f t="shared" si="3"/>
        <v/>
      </c>
      <c r="C32" s="472">
        <f>IF(D11="","-",+C31+1)</f>
        <v>2029</v>
      </c>
      <c r="D32" s="485">
        <f>IF(F31+SUM(E$17:E31)=D$10,F31,D$10-SUM(E$17:E31))</f>
        <v>1503282.4577032374</v>
      </c>
      <c r="E32" s="484">
        <f t="shared" si="13"/>
        <v>52247.176046511624</v>
      </c>
      <c r="F32" s="485">
        <f t="shared" si="14"/>
        <v>1451035.2816567258</v>
      </c>
      <c r="G32" s="486">
        <f t="shared" si="15"/>
        <v>222203.66218399513</v>
      </c>
      <c r="H32" s="455">
        <f t="shared" si="16"/>
        <v>222203.66218399513</v>
      </c>
      <c r="I32" s="475">
        <f t="shared" si="4"/>
        <v>0</v>
      </c>
      <c r="J32" s="475"/>
      <c r="K32" s="487"/>
      <c r="L32" s="478">
        <f t="shared" si="17"/>
        <v>0</v>
      </c>
      <c r="M32" s="487"/>
      <c r="N32" s="478">
        <f t="shared" si="5"/>
        <v>0</v>
      </c>
      <c r="O32" s="478">
        <f t="shared" si="6"/>
        <v>0</v>
      </c>
      <c r="P32" s="243"/>
    </row>
    <row r="33" spans="2:16">
      <c r="B33" s="160" t="str">
        <f t="shared" si="3"/>
        <v/>
      </c>
      <c r="C33" s="472">
        <f>IF(D11="","-",+C32+1)</f>
        <v>2030</v>
      </c>
      <c r="D33" s="485">
        <f>IF(F32+SUM(E$17:E32)=D$10,F32,D$10-SUM(E$17:E32))</f>
        <v>1451035.2816567258</v>
      </c>
      <c r="E33" s="484">
        <f t="shared" si="13"/>
        <v>52247.176046511624</v>
      </c>
      <c r="F33" s="485">
        <f t="shared" si="14"/>
        <v>1398788.1056102142</v>
      </c>
      <c r="G33" s="486">
        <f t="shared" si="15"/>
        <v>216192.29358056566</v>
      </c>
      <c r="H33" s="455">
        <f t="shared" si="16"/>
        <v>216192.29358056566</v>
      </c>
      <c r="I33" s="475">
        <f t="shared" si="4"/>
        <v>0</v>
      </c>
      <c r="J33" s="475"/>
      <c r="K33" s="487"/>
      <c r="L33" s="478">
        <f t="shared" si="17"/>
        <v>0</v>
      </c>
      <c r="M33" s="487"/>
      <c r="N33" s="478">
        <f t="shared" si="5"/>
        <v>0</v>
      </c>
      <c r="O33" s="478">
        <f t="shared" si="6"/>
        <v>0</v>
      </c>
      <c r="P33" s="243"/>
    </row>
    <row r="34" spans="2:16">
      <c r="B34" s="160" t="str">
        <f t="shared" si="3"/>
        <v/>
      </c>
      <c r="C34" s="472">
        <f>IF(D11="","-",+C33+1)</f>
        <v>2031</v>
      </c>
      <c r="D34" s="485">
        <f>IF(F33+SUM(E$17:E33)=D$10,F33,D$10-SUM(E$17:E33))</f>
        <v>1398788.1056102142</v>
      </c>
      <c r="E34" s="484">
        <f t="shared" si="13"/>
        <v>52247.176046511624</v>
      </c>
      <c r="F34" s="485">
        <f t="shared" si="14"/>
        <v>1346540.9295637025</v>
      </c>
      <c r="G34" s="486">
        <f t="shared" si="15"/>
        <v>210180.92497713619</v>
      </c>
      <c r="H34" s="455">
        <f t="shared" si="16"/>
        <v>210180.92497713619</v>
      </c>
      <c r="I34" s="475">
        <f t="shared" si="4"/>
        <v>0</v>
      </c>
      <c r="J34" s="475"/>
      <c r="K34" s="487"/>
      <c r="L34" s="478">
        <f t="shared" si="17"/>
        <v>0</v>
      </c>
      <c r="M34" s="487"/>
      <c r="N34" s="478">
        <f t="shared" si="5"/>
        <v>0</v>
      </c>
      <c r="O34" s="478">
        <f t="shared" si="6"/>
        <v>0</v>
      </c>
      <c r="P34" s="243"/>
    </row>
    <row r="35" spans="2:16">
      <c r="B35" s="160" t="str">
        <f t="shared" si="3"/>
        <v/>
      </c>
      <c r="C35" s="472">
        <f>IF(D11="","-",+C34+1)</f>
        <v>2032</v>
      </c>
      <c r="D35" s="485">
        <f>IF(F34+SUM(E$17:E34)=D$10,F34,D$10-SUM(E$17:E34))</f>
        <v>1346540.9295637025</v>
      </c>
      <c r="E35" s="484">
        <f t="shared" si="13"/>
        <v>52247.176046511624</v>
      </c>
      <c r="F35" s="485">
        <f t="shared" si="14"/>
        <v>1294293.7535171909</v>
      </c>
      <c r="G35" s="486">
        <f t="shared" si="15"/>
        <v>204169.5563737067</v>
      </c>
      <c r="H35" s="455">
        <f t="shared" si="16"/>
        <v>204169.5563737067</v>
      </c>
      <c r="I35" s="475">
        <f t="shared" si="4"/>
        <v>0</v>
      </c>
      <c r="J35" s="475"/>
      <c r="K35" s="487"/>
      <c r="L35" s="478">
        <f t="shared" si="17"/>
        <v>0</v>
      </c>
      <c r="M35" s="487"/>
      <c r="N35" s="478">
        <f t="shared" si="5"/>
        <v>0</v>
      </c>
      <c r="O35" s="478">
        <f t="shared" si="6"/>
        <v>0</v>
      </c>
      <c r="P35" s="243"/>
    </row>
    <row r="36" spans="2:16">
      <c r="B36" s="160" t="str">
        <f t="shared" si="3"/>
        <v/>
      </c>
      <c r="C36" s="472">
        <f>IF(D11="","-",+C35+1)</f>
        <v>2033</v>
      </c>
      <c r="D36" s="485">
        <f>IF(F35+SUM(E$17:E35)=D$10,F35,D$10-SUM(E$17:E35))</f>
        <v>1294293.7535171909</v>
      </c>
      <c r="E36" s="484">
        <f t="shared" si="13"/>
        <v>52247.176046511624</v>
      </c>
      <c r="F36" s="485">
        <f t="shared" si="14"/>
        <v>1242046.5774706793</v>
      </c>
      <c r="G36" s="486">
        <f t="shared" si="15"/>
        <v>198158.18777027723</v>
      </c>
      <c r="H36" s="455">
        <f t="shared" si="16"/>
        <v>198158.18777027723</v>
      </c>
      <c r="I36" s="475">
        <f t="shared" si="4"/>
        <v>0</v>
      </c>
      <c r="J36" s="475"/>
      <c r="K36" s="487"/>
      <c r="L36" s="478">
        <f t="shared" si="17"/>
        <v>0</v>
      </c>
      <c r="M36" s="487"/>
      <c r="N36" s="478">
        <f t="shared" si="5"/>
        <v>0</v>
      </c>
      <c r="O36" s="478">
        <f t="shared" si="6"/>
        <v>0</v>
      </c>
      <c r="P36" s="243"/>
    </row>
    <row r="37" spans="2:16">
      <c r="B37" s="160" t="str">
        <f t="shared" si="3"/>
        <v/>
      </c>
      <c r="C37" s="472">
        <f>IF(D11="","-",+C36+1)</f>
        <v>2034</v>
      </c>
      <c r="D37" s="485">
        <f>IF(F36+SUM(E$17:E36)=D$10,F36,D$10-SUM(E$17:E36))</f>
        <v>1242046.5774706793</v>
      </c>
      <c r="E37" s="484">
        <f t="shared" si="13"/>
        <v>52247.176046511624</v>
      </c>
      <c r="F37" s="485">
        <f t="shared" si="14"/>
        <v>1189799.4014241677</v>
      </c>
      <c r="G37" s="486">
        <f t="shared" si="15"/>
        <v>192146.81916684777</v>
      </c>
      <c r="H37" s="455">
        <f t="shared" si="16"/>
        <v>192146.81916684777</v>
      </c>
      <c r="I37" s="475">
        <f t="shared" si="4"/>
        <v>0</v>
      </c>
      <c r="J37" s="475"/>
      <c r="K37" s="487"/>
      <c r="L37" s="478">
        <f t="shared" si="17"/>
        <v>0</v>
      </c>
      <c r="M37" s="487"/>
      <c r="N37" s="478">
        <f t="shared" si="5"/>
        <v>0</v>
      </c>
      <c r="O37" s="478">
        <f t="shared" si="6"/>
        <v>0</v>
      </c>
      <c r="P37" s="243"/>
    </row>
    <row r="38" spans="2:16">
      <c r="B38" s="160" t="str">
        <f t="shared" si="3"/>
        <v/>
      </c>
      <c r="C38" s="472">
        <f>IF(D11="","-",+C37+1)</f>
        <v>2035</v>
      </c>
      <c r="D38" s="485">
        <f>IF(F37+SUM(E$17:E37)=D$10,F37,D$10-SUM(E$17:E37))</f>
        <v>1189799.4014241677</v>
      </c>
      <c r="E38" s="484">
        <f t="shared" si="13"/>
        <v>52247.176046511624</v>
      </c>
      <c r="F38" s="485">
        <f t="shared" si="14"/>
        <v>1137552.2253776561</v>
      </c>
      <c r="G38" s="486">
        <f t="shared" si="15"/>
        <v>186135.45056341827</v>
      </c>
      <c r="H38" s="455">
        <f t="shared" si="16"/>
        <v>186135.45056341827</v>
      </c>
      <c r="I38" s="475">
        <f t="shared" si="4"/>
        <v>0</v>
      </c>
      <c r="J38" s="475"/>
      <c r="K38" s="487"/>
      <c r="L38" s="478">
        <f t="shared" si="17"/>
        <v>0</v>
      </c>
      <c r="M38" s="487"/>
      <c r="N38" s="478">
        <f t="shared" si="5"/>
        <v>0</v>
      </c>
      <c r="O38" s="478">
        <f t="shared" si="6"/>
        <v>0</v>
      </c>
      <c r="P38" s="243"/>
    </row>
    <row r="39" spans="2:16">
      <c r="B39" s="160" t="str">
        <f t="shared" si="3"/>
        <v/>
      </c>
      <c r="C39" s="472">
        <f>IF(D11="","-",+C38+1)</f>
        <v>2036</v>
      </c>
      <c r="D39" s="485">
        <f>IF(F38+SUM(E$17:E38)=D$10,F38,D$10-SUM(E$17:E38))</f>
        <v>1137552.2253776561</v>
      </c>
      <c r="E39" s="484">
        <f t="shared" si="13"/>
        <v>52247.176046511624</v>
      </c>
      <c r="F39" s="485">
        <f t="shared" si="14"/>
        <v>1085305.0493311444</v>
      </c>
      <c r="G39" s="486">
        <f t="shared" si="15"/>
        <v>180124.08195998881</v>
      </c>
      <c r="H39" s="455">
        <f t="shared" si="16"/>
        <v>180124.08195998881</v>
      </c>
      <c r="I39" s="475">
        <f t="shared" si="4"/>
        <v>0</v>
      </c>
      <c r="J39" s="475"/>
      <c r="K39" s="487"/>
      <c r="L39" s="478">
        <f t="shared" si="17"/>
        <v>0</v>
      </c>
      <c r="M39" s="487"/>
      <c r="N39" s="478">
        <f t="shared" si="5"/>
        <v>0</v>
      </c>
      <c r="O39" s="478">
        <f t="shared" si="6"/>
        <v>0</v>
      </c>
      <c r="P39" s="243"/>
    </row>
    <row r="40" spans="2:16">
      <c r="B40" s="160" t="str">
        <f t="shared" si="3"/>
        <v/>
      </c>
      <c r="C40" s="472">
        <f>IF(D11="","-",+C39+1)</f>
        <v>2037</v>
      </c>
      <c r="D40" s="485">
        <f>IF(F39+SUM(E$17:E39)=D$10,F39,D$10-SUM(E$17:E39))</f>
        <v>1085305.0493311444</v>
      </c>
      <c r="E40" s="484">
        <f t="shared" si="13"/>
        <v>52247.176046511624</v>
      </c>
      <c r="F40" s="485">
        <f t="shared" si="14"/>
        <v>1033057.8732846328</v>
      </c>
      <c r="G40" s="486">
        <f t="shared" si="15"/>
        <v>174112.71335655934</v>
      </c>
      <c r="H40" s="455">
        <f t="shared" si="16"/>
        <v>174112.71335655934</v>
      </c>
      <c r="I40" s="475">
        <f t="shared" si="4"/>
        <v>0</v>
      </c>
      <c r="J40" s="475"/>
      <c r="K40" s="487"/>
      <c r="L40" s="478">
        <f t="shared" si="17"/>
        <v>0</v>
      </c>
      <c r="M40" s="487"/>
      <c r="N40" s="478">
        <f t="shared" si="5"/>
        <v>0</v>
      </c>
      <c r="O40" s="478">
        <f t="shared" si="6"/>
        <v>0</v>
      </c>
      <c r="P40" s="243"/>
    </row>
    <row r="41" spans="2:16">
      <c r="B41" s="160" t="str">
        <f t="shared" si="3"/>
        <v/>
      </c>
      <c r="C41" s="472">
        <f>IF(D11="","-",+C40+1)</f>
        <v>2038</v>
      </c>
      <c r="D41" s="485">
        <f>IF(F40+SUM(E$17:E40)=D$10,F40,D$10-SUM(E$17:E40))</f>
        <v>1033057.8732846328</v>
      </c>
      <c r="E41" s="484">
        <f t="shared" si="13"/>
        <v>52247.176046511624</v>
      </c>
      <c r="F41" s="485">
        <f t="shared" si="14"/>
        <v>980810.69723812118</v>
      </c>
      <c r="G41" s="486">
        <f t="shared" si="15"/>
        <v>168101.34475312987</v>
      </c>
      <c r="H41" s="455">
        <f t="shared" si="16"/>
        <v>168101.34475312987</v>
      </c>
      <c r="I41" s="475">
        <f t="shared" si="4"/>
        <v>0</v>
      </c>
      <c r="J41" s="475"/>
      <c r="K41" s="487"/>
      <c r="L41" s="478">
        <f t="shared" si="17"/>
        <v>0</v>
      </c>
      <c r="M41" s="487"/>
      <c r="N41" s="478">
        <f t="shared" si="5"/>
        <v>0</v>
      </c>
      <c r="O41" s="478">
        <f t="shared" si="6"/>
        <v>0</v>
      </c>
      <c r="P41" s="243"/>
    </row>
    <row r="42" spans="2:16">
      <c r="B42" s="160" t="str">
        <f t="shared" si="3"/>
        <v/>
      </c>
      <c r="C42" s="472">
        <f>IF(D11="","-",+C41+1)</f>
        <v>2039</v>
      </c>
      <c r="D42" s="485">
        <f>IF(F41+SUM(E$17:E41)=D$10,F41,D$10-SUM(E$17:E41))</f>
        <v>980810.69723812118</v>
      </c>
      <c r="E42" s="484">
        <f t="shared" si="13"/>
        <v>52247.176046511624</v>
      </c>
      <c r="F42" s="485">
        <f t="shared" si="14"/>
        <v>928563.52119160956</v>
      </c>
      <c r="G42" s="486">
        <f t="shared" si="15"/>
        <v>162089.97614970038</v>
      </c>
      <c r="H42" s="455">
        <f t="shared" si="16"/>
        <v>162089.97614970038</v>
      </c>
      <c r="I42" s="475">
        <f t="shared" si="4"/>
        <v>0</v>
      </c>
      <c r="J42" s="475"/>
      <c r="K42" s="487"/>
      <c r="L42" s="478">
        <f t="shared" si="17"/>
        <v>0</v>
      </c>
      <c r="M42" s="487"/>
      <c r="N42" s="478">
        <f t="shared" si="5"/>
        <v>0</v>
      </c>
      <c r="O42" s="478">
        <f t="shared" si="6"/>
        <v>0</v>
      </c>
      <c r="P42" s="243"/>
    </row>
    <row r="43" spans="2:16">
      <c r="B43" s="160" t="str">
        <f t="shared" si="3"/>
        <v/>
      </c>
      <c r="C43" s="472">
        <f>IF(D11="","-",+C42+1)</f>
        <v>2040</v>
      </c>
      <c r="D43" s="485">
        <f>IF(F42+SUM(E$17:E42)=D$10,F42,D$10-SUM(E$17:E42))</f>
        <v>928563.52119160956</v>
      </c>
      <c r="E43" s="484">
        <f t="shared" si="13"/>
        <v>52247.176046511624</v>
      </c>
      <c r="F43" s="485">
        <f t="shared" si="14"/>
        <v>876316.34514509793</v>
      </c>
      <c r="G43" s="486">
        <f t="shared" si="15"/>
        <v>156078.60754627091</v>
      </c>
      <c r="H43" s="455">
        <f t="shared" si="16"/>
        <v>156078.60754627091</v>
      </c>
      <c r="I43" s="475">
        <f t="shared" si="4"/>
        <v>0</v>
      </c>
      <c r="J43" s="475"/>
      <c r="K43" s="487"/>
      <c r="L43" s="478">
        <f t="shared" si="17"/>
        <v>0</v>
      </c>
      <c r="M43" s="487"/>
      <c r="N43" s="478">
        <f t="shared" si="5"/>
        <v>0</v>
      </c>
      <c r="O43" s="478">
        <f t="shared" si="6"/>
        <v>0</v>
      </c>
      <c r="P43" s="243"/>
    </row>
    <row r="44" spans="2:16">
      <c r="B44" s="160" t="str">
        <f t="shared" si="3"/>
        <v/>
      </c>
      <c r="C44" s="472">
        <f>IF(D11="","-",+C43+1)</f>
        <v>2041</v>
      </c>
      <c r="D44" s="485">
        <f>IF(F43+SUM(E$17:E43)=D$10,F43,D$10-SUM(E$17:E43))</f>
        <v>876316.34514509793</v>
      </c>
      <c r="E44" s="484">
        <f t="shared" si="13"/>
        <v>52247.176046511624</v>
      </c>
      <c r="F44" s="485">
        <f t="shared" si="14"/>
        <v>824069.16909858631</v>
      </c>
      <c r="G44" s="486">
        <f t="shared" si="15"/>
        <v>150067.23894284142</v>
      </c>
      <c r="H44" s="455">
        <f t="shared" si="16"/>
        <v>150067.23894284142</v>
      </c>
      <c r="I44" s="475">
        <f t="shared" si="4"/>
        <v>0</v>
      </c>
      <c r="J44" s="475"/>
      <c r="K44" s="487"/>
      <c r="L44" s="478">
        <f t="shared" si="17"/>
        <v>0</v>
      </c>
      <c r="M44" s="487"/>
      <c r="N44" s="478">
        <f t="shared" si="5"/>
        <v>0</v>
      </c>
      <c r="O44" s="478">
        <f t="shared" si="6"/>
        <v>0</v>
      </c>
      <c r="P44" s="243"/>
    </row>
    <row r="45" spans="2:16">
      <c r="B45" s="160" t="str">
        <f t="shared" si="3"/>
        <v/>
      </c>
      <c r="C45" s="472">
        <f>IF(D11="","-",+C44+1)</f>
        <v>2042</v>
      </c>
      <c r="D45" s="485">
        <f>IF(F44+SUM(E$17:E44)=D$10,F44,D$10-SUM(E$17:E44))</f>
        <v>824069.16909858631</v>
      </c>
      <c r="E45" s="484">
        <f t="shared" si="13"/>
        <v>52247.176046511624</v>
      </c>
      <c r="F45" s="485">
        <f t="shared" si="14"/>
        <v>771821.99305207469</v>
      </c>
      <c r="G45" s="486">
        <f t="shared" si="15"/>
        <v>144055.87033941195</v>
      </c>
      <c r="H45" s="455">
        <f t="shared" si="16"/>
        <v>144055.87033941195</v>
      </c>
      <c r="I45" s="475">
        <f t="shared" si="4"/>
        <v>0</v>
      </c>
      <c r="J45" s="475"/>
      <c r="K45" s="487"/>
      <c r="L45" s="478">
        <f t="shared" si="17"/>
        <v>0</v>
      </c>
      <c r="M45" s="487"/>
      <c r="N45" s="478">
        <f t="shared" si="5"/>
        <v>0</v>
      </c>
      <c r="O45" s="478">
        <f t="shared" si="6"/>
        <v>0</v>
      </c>
      <c r="P45" s="243"/>
    </row>
    <row r="46" spans="2:16">
      <c r="B46" s="160" t="str">
        <f t="shared" si="3"/>
        <v/>
      </c>
      <c r="C46" s="472">
        <f>IF(D11="","-",+C45+1)</f>
        <v>2043</v>
      </c>
      <c r="D46" s="485">
        <f>IF(F45+SUM(E$17:E45)=D$10,F45,D$10-SUM(E$17:E45))</f>
        <v>771821.99305207469</v>
      </c>
      <c r="E46" s="484">
        <f t="shared" si="13"/>
        <v>52247.176046511624</v>
      </c>
      <c r="F46" s="485">
        <f t="shared" si="14"/>
        <v>719574.81700556306</v>
      </c>
      <c r="G46" s="486">
        <f t="shared" si="15"/>
        <v>138044.50173598249</v>
      </c>
      <c r="H46" s="455">
        <f t="shared" si="16"/>
        <v>138044.50173598249</v>
      </c>
      <c r="I46" s="475">
        <f t="shared" si="4"/>
        <v>0</v>
      </c>
      <c r="J46" s="475"/>
      <c r="K46" s="487"/>
      <c r="L46" s="478">
        <f t="shared" si="17"/>
        <v>0</v>
      </c>
      <c r="M46" s="487"/>
      <c r="N46" s="478">
        <f t="shared" si="5"/>
        <v>0</v>
      </c>
      <c r="O46" s="478">
        <f t="shared" si="6"/>
        <v>0</v>
      </c>
      <c r="P46" s="243"/>
    </row>
    <row r="47" spans="2:16">
      <c r="B47" s="160" t="str">
        <f t="shared" si="3"/>
        <v/>
      </c>
      <c r="C47" s="472">
        <f>IF(D11="","-",+C46+1)</f>
        <v>2044</v>
      </c>
      <c r="D47" s="485">
        <f>IF(F46+SUM(E$17:E46)=D$10,F46,D$10-SUM(E$17:E46))</f>
        <v>719574.81700556306</v>
      </c>
      <c r="E47" s="484">
        <f t="shared" si="13"/>
        <v>52247.176046511624</v>
      </c>
      <c r="F47" s="485">
        <f t="shared" si="14"/>
        <v>667327.64095905144</v>
      </c>
      <c r="G47" s="486">
        <f t="shared" si="15"/>
        <v>132033.13313255302</v>
      </c>
      <c r="H47" s="455">
        <f t="shared" si="16"/>
        <v>132033.13313255302</v>
      </c>
      <c r="I47" s="475">
        <f t="shared" si="4"/>
        <v>0</v>
      </c>
      <c r="J47" s="475"/>
      <c r="K47" s="487"/>
      <c r="L47" s="478">
        <f t="shared" si="17"/>
        <v>0</v>
      </c>
      <c r="M47" s="487"/>
      <c r="N47" s="478">
        <f t="shared" si="5"/>
        <v>0</v>
      </c>
      <c r="O47" s="478">
        <f t="shared" si="6"/>
        <v>0</v>
      </c>
      <c r="P47" s="243"/>
    </row>
    <row r="48" spans="2:16">
      <c r="B48" s="160" t="str">
        <f t="shared" si="3"/>
        <v/>
      </c>
      <c r="C48" s="472">
        <f>IF(D11="","-",+C47+1)</f>
        <v>2045</v>
      </c>
      <c r="D48" s="485">
        <f>IF(F47+SUM(E$17:E47)=D$10,F47,D$10-SUM(E$17:E47))</f>
        <v>667327.64095905144</v>
      </c>
      <c r="E48" s="484">
        <f t="shared" si="13"/>
        <v>52247.176046511624</v>
      </c>
      <c r="F48" s="485">
        <f t="shared" si="14"/>
        <v>615080.46491253981</v>
      </c>
      <c r="G48" s="486">
        <f t="shared" si="15"/>
        <v>126021.76452912352</v>
      </c>
      <c r="H48" s="455">
        <f t="shared" si="16"/>
        <v>126021.76452912352</v>
      </c>
      <c r="I48" s="475">
        <f t="shared" si="4"/>
        <v>0</v>
      </c>
      <c r="J48" s="475"/>
      <c r="K48" s="487"/>
      <c r="L48" s="478">
        <f t="shared" si="17"/>
        <v>0</v>
      </c>
      <c r="M48" s="487"/>
      <c r="N48" s="478">
        <f t="shared" si="5"/>
        <v>0</v>
      </c>
      <c r="O48" s="478">
        <f t="shared" si="6"/>
        <v>0</v>
      </c>
      <c r="P48" s="243"/>
    </row>
    <row r="49" spans="2:16">
      <c r="B49" s="160" t="str">
        <f t="shared" si="3"/>
        <v/>
      </c>
      <c r="C49" s="472">
        <f>IF(D11="","-",+C48+1)</f>
        <v>2046</v>
      </c>
      <c r="D49" s="485">
        <f>IF(F48+SUM(E$17:E48)=D$10,F48,D$10-SUM(E$17:E48))</f>
        <v>615080.46491253981</v>
      </c>
      <c r="E49" s="484">
        <f t="shared" si="13"/>
        <v>52247.176046511624</v>
      </c>
      <c r="F49" s="485">
        <f t="shared" si="14"/>
        <v>562833.28886602819</v>
      </c>
      <c r="G49" s="486">
        <f t="shared" si="15"/>
        <v>120010.39592569406</v>
      </c>
      <c r="H49" s="455">
        <f t="shared" si="16"/>
        <v>120010.39592569406</v>
      </c>
      <c r="I49" s="475">
        <f t="shared" si="4"/>
        <v>0</v>
      </c>
      <c r="J49" s="475"/>
      <c r="K49" s="487"/>
      <c r="L49" s="478">
        <f t="shared" si="17"/>
        <v>0</v>
      </c>
      <c r="M49" s="487"/>
      <c r="N49" s="478">
        <f t="shared" si="5"/>
        <v>0</v>
      </c>
      <c r="O49" s="478">
        <f t="shared" si="6"/>
        <v>0</v>
      </c>
      <c r="P49" s="243"/>
    </row>
    <row r="50" spans="2:16">
      <c r="B50" s="160" t="str">
        <f t="shared" si="3"/>
        <v/>
      </c>
      <c r="C50" s="472">
        <f>IF(D11="","-",+C49+1)</f>
        <v>2047</v>
      </c>
      <c r="D50" s="485">
        <f>IF(F49+SUM(E$17:E49)=D$10,F49,D$10-SUM(E$17:E49))</f>
        <v>562833.28886602819</v>
      </c>
      <c r="E50" s="484">
        <f t="shared" si="13"/>
        <v>52247.176046511624</v>
      </c>
      <c r="F50" s="485">
        <f t="shared" si="14"/>
        <v>510586.11281951657</v>
      </c>
      <c r="G50" s="486">
        <f t="shared" si="15"/>
        <v>113999.02732226458</v>
      </c>
      <c r="H50" s="455">
        <f t="shared" si="16"/>
        <v>113999.02732226458</v>
      </c>
      <c r="I50" s="475">
        <f t="shared" si="4"/>
        <v>0</v>
      </c>
      <c r="J50" s="475"/>
      <c r="K50" s="487"/>
      <c r="L50" s="478">
        <f t="shared" si="17"/>
        <v>0</v>
      </c>
      <c r="M50" s="487"/>
      <c r="N50" s="478">
        <f t="shared" si="5"/>
        <v>0</v>
      </c>
      <c r="O50" s="478">
        <f t="shared" si="6"/>
        <v>0</v>
      </c>
      <c r="P50" s="243"/>
    </row>
    <row r="51" spans="2:16">
      <c r="B51" s="160" t="str">
        <f t="shared" si="3"/>
        <v/>
      </c>
      <c r="C51" s="472">
        <f>IF(D11="","-",+C50+1)</f>
        <v>2048</v>
      </c>
      <c r="D51" s="485">
        <f>IF(F50+SUM(E$17:E50)=D$10,F50,D$10-SUM(E$17:E50))</f>
        <v>510586.11281951657</v>
      </c>
      <c r="E51" s="484">
        <f t="shared" si="13"/>
        <v>52247.176046511624</v>
      </c>
      <c r="F51" s="485">
        <f t="shared" si="14"/>
        <v>458338.93677300494</v>
      </c>
      <c r="G51" s="486">
        <f t="shared" si="15"/>
        <v>107987.6587188351</v>
      </c>
      <c r="H51" s="455">
        <f t="shared" si="16"/>
        <v>107987.6587188351</v>
      </c>
      <c r="I51" s="475">
        <f t="shared" si="4"/>
        <v>0</v>
      </c>
      <c r="J51" s="475"/>
      <c r="K51" s="487"/>
      <c r="L51" s="478">
        <f t="shared" si="17"/>
        <v>0</v>
      </c>
      <c r="M51" s="487"/>
      <c r="N51" s="478">
        <f t="shared" si="5"/>
        <v>0</v>
      </c>
      <c r="O51" s="478">
        <f t="shared" si="6"/>
        <v>0</v>
      </c>
      <c r="P51" s="243"/>
    </row>
    <row r="52" spans="2:16">
      <c r="B52" s="160" t="str">
        <f t="shared" si="3"/>
        <v/>
      </c>
      <c r="C52" s="472">
        <f>IF(D11="","-",+C51+1)</f>
        <v>2049</v>
      </c>
      <c r="D52" s="485">
        <f>IF(F51+SUM(E$17:E51)=D$10,F51,D$10-SUM(E$17:E51))</f>
        <v>458338.93677300494</v>
      </c>
      <c r="E52" s="484">
        <f t="shared" si="13"/>
        <v>52247.176046511624</v>
      </c>
      <c r="F52" s="485">
        <f t="shared" si="14"/>
        <v>406091.76072649332</v>
      </c>
      <c r="G52" s="486">
        <f t="shared" si="15"/>
        <v>101976.29011540563</v>
      </c>
      <c r="H52" s="455">
        <f t="shared" si="16"/>
        <v>101976.29011540563</v>
      </c>
      <c r="I52" s="475">
        <f t="shared" si="4"/>
        <v>0</v>
      </c>
      <c r="J52" s="475"/>
      <c r="K52" s="487"/>
      <c r="L52" s="478">
        <f t="shared" si="17"/>
        <v>0</v>
      </c>
      <c r="M52" s="487"/>
      <c r="N52" s="478">
        <f t="shared" si="5"/>
        <v>0</v>
      </c>
      <c r="O52" s="478">
        <f t="shared" si="6"/>
        <v>0</v>
      </c>
      <c r="P52" s="243"/>
    </row>
    <row r="53" spans="2:16">
      <c r="B53" s="160" t="str">
        <f t="shared" si="3"/>
        <v/>
      </c>
      <c r="C53" s="472">
        <f>IF(D11="","-",+C52+1)</f>
        <v>2050</v>
      </c>
      <c r="D53" s="485">
        <f>IF(F52+SUM(E$17:E52)=D$10,F52,D$10-SUM(E$17:E52))</f>
        <v>406091.76072649332</v>
      </c>
      <c r="E53" s="484">
        <f t="shared" si="13"/>
        <v>52247.176046511624</v>
      </c>
      <c r="F53" s="485">
        <f t="shared" si="14"/>
        <v>353844.58467998169</v>
      </c>
      <c r="G53" s="486">
        <f t="shared" si="15"/>
        <v>95964.921511976165</v>
      </c>
      <c r="H53" s="455">
        <f t="shared" si="16"/>
        <v>95964.921511976165</v>
      </c>
      <c r="I53" s="475">
        <f t="shared" si="4"/>
        <v>0</v>
      </c>
      <c r="J53" s="475"/>
      <c r="K53" s="487"/>
      <c r="L53" s="478">
        <f t="shared" si="17"/>
        <v>0</v>
      </c>
      <c r="M53" s="487"/>
      <c r="N53" s="478">
        <f t="shared" si="5"/>
        <v>0</v>
      </c>
      <c r="O53" s="478">
        <f t="shared" si="6"/>
        <v>0</v>
      </c>
      <c r="P53" s="243"/>
    </row>
    <row r="54" spans="2:16">
      <c r="B54" s="160" t="str">
        <f t="shared" si="3"/>
        <v/>
      </c>
      <c r="C54" s="472">
        <f>IF(D11="","-",+C53+1)</f>
        <v>2051</v>
      </c>
      <c r="D54" s="485">
        <f>IF(F53+SUM(E$17:E53)=D$10,F53,D$10-SUM(E$17:E53))</f>
        <v>353844.58467998169</v>
      </c>
      <c r="E54" s="484">
        <f t="shared" si="13"/>
        <v>52247.176046511624</v>
      </c>
      <c r="F54" s="485">
        <f t="shared" si="14"/>
        <v>301597.40863347007</v>
      </c>
      <c r="G54" s="486">
        <f t="shared" si="15"/>
        <v>89953.55290854667</v>
      </c>
      <c r="H54" s="455">
        <f t="shared" si="16"/>
        <v>89953.55290854667</v>
      </c>
      <c r="I54" s="475">
        <f t="shared" si="4"/>
        <v>0</v>
      </c>
      <c r="J54" s="475"/>
      <c r="K54" s="487"/>
      <c r="L54" s="478">
        <f t="shared" si="17"/>
        <v>0</v>
      </c>
      <c r="M54" s="487"/>
      <c r="N54" s="478">
        <f t="shared" si="5"/>
        <v>0</v>
      </c>
      <c r="O54" s="478">
        <f t="shared" si="6"/>
        <v>0</v>
      </c>
      <c r="P54" s="243"/>
    </row>
    <row r="55" spans="2:16">
      <c r="B55" s="160" t="str">
        <f t="shared" si="3"/>
        <v/>
      </c>
      <c r="C55" s="472">
        <f>IF(D11="","-",+C54+1)</f>
        <v>2052</v>
      </c>
      <c r="D55" s="485">
        <f>IF(F54+SUM(E$17:E54)=D$10,F54,D$10-SUM(E$17:E54))</f>
        <v>301597.40863347007</v>
      </c>
      <c r="E55" s="484">
        <f t="shared" si="13"/>
        <v>52247.176046511624</v>
      </c>
      <c r="F55" s="485">
        <f t="shared" si="14"/>
        <v>249350.23258695845</v>
      </c>
      <c r="G55" s="486">
        <f t="shared" si="15"/>
        <v>83942.184305117204</v>
      </c>
      <c r="H55" s="455">
        <f t="shared" si="16"/>
        <v>83942.184305117204</v>
      </c>
      <c r="I55" s="475">
        <f t="shared" si="4"/>
        <v>0</v>
      </c>
      <c r="J55" s="475"/>
      <c r="K55" s="487"/>
      <c r="L55" s="478">
        <f t="shared" si="17"/>
        <v>0</v>
      </c>
      <c r="M55" s="487"/>
      <c r="N55" s="478">
        <f t="shared" si="5"/>
        <v>0</v>
      </c>
      <c r="O55" s="478">
        <f t="shared" si="6"/>
        <v>0</v>
      </c>
      <c r="P55" s="243"/>
    </row>
    <row r="56" spans="2:16">
      <c r="B56" s="160" t="str">
        <f t="shared" si="3"/>
        <v/>
      </c>
      <c r="C56" s="472">
        <f>IF(D11="","-",+C55+1)</f>
        <v>2053</v>
      </c>
      <c r="D56" s="485">
        <f>IF(F55+SUM(E$17:E55)=D$10,F55,D$10-SUM(E$17:E55))</f>
        <v>249350.23258695845</v>
      </c>
      <c r="E56" s="484">
        <f t="shared" si="13"/>
        <v>52247.176046511624</v>
      </c>
      <c r="F56" s="485">
        <f t="shared" si="14"/>
        <v>197103.05654044682</v>
      </c>
      <c r="G56" s="486">
        <f t="shared" si="15"/>
        <v>77930.815701687723</v>
      </c>
      <c r="H56" s="455">
        <f t="shared" si="16"/>
        <v>77930.815701687723</v>
      </c>
      <c r="I56" s="475">
        <f t="shared" si="4"/>
        <v>0</v>
      </c>
      <c r="J56" s="475"/>
      <c r="K56" s="487"/>
      <c r="L56" s="478">
        <f t="shared" si="17"/>
        <v>0</v>
      </c>
      <c r="M56" s="487"/>
      <c r="N56" s="478">
        <f t="shared" si="5"/>
        <v>0</v>
      </c>
      <c r="O56" s="478">
        <f t="shared" si="6"/>
        <v>0</v>
      </c>
      <c r="P56" s="243"/>
    </row>
    <row r="57" spans="2:16">
      <c r="B57" s="160" t="str">
        <f t="shared" si="3"/>
        <v/>
      </c>
      <c r="C57" s="472">
        <f>IF(D11="","-",+C56+1)</f>
        <v>2054</v>
      </c>
      <c r="D57" s="485">
        <f>IF(F56+SUM(E$17:E56)=D$10,F56,D$10-SUM(E$17:E56))</f>
        <v>197103.05654044682</v>
      </c>
      <c r="E57" s="484">
        <f t="shared" si="13"/>
        <v>52247.176046511624</v>
      </c>
      <c r="F57" s="485">
        <f t="shared" si="14"/>
        <v>144855.8804939352</v>
      </c>
      <c r="G57" s="486">
        <f t="shared" si="15"/>
        <v>71919.447098258257</v>
      </c>
      <c r="H57" s="455">
        <f t="shared" si="16"/>
        <v>71919.447098258257</v>
      </c>
      <c r="I57" s="475">
        <f t="shared" si="4"/>
        <v>0</v>
      </c>
      <c r="J57" s="475"/>
      <c r="K57" s="487"/>
      <c r="L57" s="478">
        <f t="shared" si="17"/>
        <v>0</v>
      </c>
      <c r="M57" s="487"/>
      <c r="N57" s="478">
        <f t="shared" si="5"/>
        <v>0</v>
      </c>
      <c r="O57" s="478">
        <f t="shared" si="6"/>
        <v>0</v>
      </c>
      <c r="P57" s="243"/>
    </row>
    <row r="58" spans="2:16">
      <c r="B58" s="160" t="str">
        <f t="shared" si="3"/>
        <v/>
      </c>
      <c r="C58" s="472">
        <f>IF(D11="","-",+C57+1)</f>
        <v>2055</v>
      </c>
      <c r="D58" s="485">
        <f>IF(F57+SUM(E$17:E57)=D$10,F57,D$10-SUM(E$17:E57))</f>
        <v>144855.8804939352</v>
      </c>
      <c r="E58" s="484">
        <f t="shared" si="13"/>
        <v>52247.176046511624</v>
      </c>
      <c r="F58" s="485">
        <f t="shared" si="14"/>
        <v>92608.704447423574</v>
      </c>
      <c r="G58" s="486">
        <f t="shared" si="15"/>
        <v>65908.078494828776</v>
      </c>
      <c r="H58" s="455">
        <f t="shared" si="16"/>
        <v>65908.078494828776</v>
      </c>
      <c r="I58" s="475">
        <f t="shared" si="4"/>
        <v>0</v>
      </c>
      <c r="J58" s="475"/>
      <c r="K58" s="487"/>
      <c r="L58" s="478">
        <f t="shared" si="17"/>
        <v>0</v>
      </c>
      <c r="M58" s="487"/>
      <c r="N58" s="478">
        <f t="shared" si="5"/>
        <v>0</v>
      </c>
      <c r="O58" s="478">
        <f t="shared" si="6"/>
        <v>0</v>
      </c>
      <c r="P58" s="243"/>
    </row>
    <row r="59" spans="2:16">
      <c r="B59" s="160" t="str">
        <f t="shared" si="3"/>
        <v/>
      </c>
      <c r="C59" s="472">
        <f>IF(D11="","-",+C58+1)</f>
        <v>2056</v>
      </c>
      <c r="D59" s="485">
        <f>IF(F58+SUM(E$17:E58)=D$10,F58,D$10-SUM(E$17:E58))</f>
        <v>92608.704447423574</v>
      </c>
      <c r="E59" s="484">
        <f t="shared" si="13"/>
        <v>52247.176046511624</v>
      </c>
      <c r="F59" s="485">
        <f t="shared" si="14"/>
        <v>40361.52840091195</v>
      </c>
      <c r="G59" s="486">
        <f t="shared" si="15"/>
        <v>59896.709891399303</v>
      </c>
      <c r="H59" s="455">
        <f t="shared" si="16"/>
        <v>59896.709891399303</v>
      </c>
      <c r="I59" s="475">
        <f t="shared" si="4"/>
        <v>0</v>
      </c>
      <c r="J59" s="475"/>
      <c r="K59" s="487"/>
      <c r="L59" s="478">
        <f t="shared" si="17"/>
        <v>0</v>
      </c>
      <c r="M59" s="487"/>
      <c r="N59" s="478">
        <f t="shared" si="5"/>
        <v>0</v>
      </c>
      <c r="O59" s="478">
        <f t="shared" si="6"/>
        <v>0</v>
      </c>
      <c r="P59" s="243"/>
    </row>
    <row r="60" spans="2:16">
      <c r="B60" s="160" t="str">
        <f t="shared" si="3"/>
        <v/>
      </c>
      <c r="C60" s="472">
        <f>IF(D11="","-",+C59+1)</f>
        <v>2057</v>
      </c>
      <c r="D60" s="485">
        <f>IF(F59+SUM(E$17:E59)=D$10,F59,D$10-SUM(E$17:E59))</f>
        <v>40361.52840091195</v>
      </c>
      <c r="E60" s="484">
        <f t="shared" si="13"/>
        <v>40361.52840091195</v>
      </c>
      <c r="F60" s="485">
        <f t="shared" si="14"/>
        <v>0</v>
      </c>
      <c r="G60" s="486">
        <f t="shared" si="15"/>
        <v>42683.453172498419</v>
      </c>
      <c r="H60" s="455">
        <f t="shared" si="16"/>
        <v>42683.453172498419</v>
      </c>
      <c r="I60" s="475">
        <f t="shared" si="4"/>
        <v>0</v>
      </c>
      <c r="J60" s="475"/>
      <c r="K60" s="487"/>
      <c r="L60" s="478">
        <f t="shared" si="17"/>
        <v>0</v>
      </c>
      <c r="M60" s="487"/>
      <c r="N60" s="478">
        <f t="shared" si="5"/>
        <v>0</v>
      </c>
      <c r="O60" s="478">
        <f t="shared" si="6"/>
        <v>0</v>
      </c>
      <c r="P60" s="243"/>
    </row>
    <row r="61" spans="2:16">
      <c r="B61" s="160" t="str">
        <f t="shared" si="3"/>
        <v/>
      </c>
      <c r="C61" s="472">
        <f>IF(D11="","-",+C60+1)</f>
        <v>2058</v>
      </c>
      <c r="D61" s="485">
        <f>IF(F60+SUM(E$17:E60)=D$10,F60,D$10-SUM(E$17:E60))</f>
        <v>0</v>
      </c>
      <c r="E61" s="484">
        <f t="shared" si="13"/>
        <v>0</v>
      </c>
      <c r="F61" s="485">
        <f t="shared" si="14"/>
        <v>0</v>
      </c>
      <c r="G61" s="486">
        <f t="shared" si="15"/>
        <v>0</v>
      </c>
      <c r="H61" s="455">
        <f t="shared" si="16"/>
        <v>0</v>
      </c>
      <c r="I61" s="475">
        <f t="shared" si="4"/>
        <v>0</v>
      </c>
      <c r="J61" s="475"/>
      <c r="K61" s="487"/>
      <c r="L61" s="478">
        <f t="shared" si="17"/>
        <v>0</v>
      </c>
      <c r="M61" s="487"/>
      <c r="N61" s="478">
        <f t="shared" si="5"/>
        <v>0</v>
      </c>
      <c r="O61" s="478">
        <f t="shared" si="6"/>
        <v>0</v>
      </c>
      <c r="P61" s="243"/>
    </row>
    <row r="62" spans="2:16">
      <c r="B62" s="160" t="str">
        <f t="shared" si="3"/>
        <v/>
      </c>
      <c r="C62" s="472">
        <f>IF(D11="","-",+C61+1)</f>
        <v>2059</v>
      </c>
      <c r="D62" s="485">
        <f>IF(F61+SUM(E$17:E61)=D$10,F61,D$10-SUM(E$17:E61))</f>
        <v>0</v>
      </c>
      <c r="E62" s="484">
        <f t="shared" si="13"/>
        <v>0</v>
      </c>
      <c r="F62" s="485">
        <f t="shared" si="14"/>
        <v>0</v>
      </c>
      <c r="G62" s="486">
        <f t="shared" si="15"/>
        <v>0</v>
      </c>
      <c r="H62" s="455">
        <f t="shared" si="16"/>
        <v>0</v>
      </c>
      <c r="I62" s="475">
        <f t="shared" si="4"/>
        <v>0</v>
      </c>
      <c r="J62" s="475"/>
      <c r="K62" s="487"/>
      <c r="L62" s="478">
        <f t="shared" si="17"/>
        <v>0</v>
      </c>
      <c r="M62" s="487"/>
      <c r="N62" s="478">
        <f t="shared" si="5"/>
        <v>0</v>
      </c>
      <c r="O62" s="478">
        <f t="shared" si="6"/>
        <v>0</v>
      </c>
      <c r="P62" s="243"/>
    </row>
    <row r="63" spans="2:16">
      <c r="B63" s="160" t="str">
        <f t="shared" si="3"/>
        <v/>
      </c>
      <c r="C63" s="472">
        <f>IF(D11="","-",+C62+1)</f>
        <v>2060</v>
      </c>
      <c r="D63" s="485">
        <f>IF(F62+SUM(E$17:E62)=D$10,F62,D$10-SUM(E$17:E62))</f>
        <v>0</v>
      </c>
      <c r="E63" s="484">
        <f t="shared" si="13"/>
        <v>0</v>
      </c>
      <c r="F63" s="485">
        <f t="shared" si="14"/>
        <v>0</v>
      </c>
      <c r="G63" s="486">
        <f t="shared" si="15"/>
        <v>0</v>
      </c>
      <c r="H63" s="455">
        <f t="shared" si="16"/>
        <v>0</v>
      </c>
      <c r="I63" s="475">
        <f t="shared" si="4"/>
        <v>0</v>
      </c>
      <c r="J63" s="475"/>
      <c r="K63" s="487"/>
      <c r="L63" s="478">
        <f t="shared" si="17"/>
        <v>0</v>
      </c>
      <c r="M63" s="487"/>
      <c r="N63" s="478">
        <f t="shared" si="5"/>
        <v>0</v>
      </c>
      <c r="O63" s="478">
        <f t="shared" si="6"/>
        <v>0</v>
      </c>
      <c r="P63" s="243"/>
    </row>
    <row r="64" spans="2:16">
      <c r="B64" s="160" t="str">
        <f t="shared" si="3"/>
        <v/>
      </c>
      <c r="C64" s="472">
        <f>IF(D11="","-",+C63+1)</f>
        <v>2061</v>
      </c>
      <c r="D64" s="485">
        <f>IF(F63+SUM(E$17:E63)=D$10,F63,D$10-SUM(E$17:E63))</f>
        <v>0</v>
      </c>
      <c r="E64" s="484">
        <f t="shared" si="13"/>
        <v>0</v>
      </c>
      <c r="F64" s="485">
        <f t="shared" si="14"/>
        <v>0</v>
      </c>
      <c r="G64" s="486">
        <f t="shared" si="15"/>
        <v>0</v>
      </c>
      <c r="H64" s="455">
        <f t="shared" si="16"/>
        <v>0</v>
      </c>
      <c r="I64" s="475">
        <f t="shared" si="4"/>
        <v>0</v>
      </c>
      <c r="J64" s="475"/>
      <c r="K64" s="487"/>
      <c r="L64" s="478">
        <f t="shared" si="17"/>
        <v>0</v>
      </c>
      <c r="M64" s="487"/>
      <c r="N64" s="478">
        <f t="shared" si="5"/>
        <v>0</v>
      </c>
      <c r="O64" s="478">
        <f t="shared" si="6"/>
        <v>0</v>
      </c>
      <c r="P64" s="243"/>
    </row>
    <row r="65" spans="2:16">
      <c r="B65" s="160" t="str">
        <f t="shared" si="3"/>
        <v/>
      </c>
      <c r="C65" s="472">
        <f>IF(D11="","-",+C64+1)</f>
        <v>2062</v>
      </c>
      <c r="D65" s="485">
        <f>IF(F64+SUM(E$17:E64)=D$10,F64,D$10-SUM(E$17:E64))</f>
        <v>0</v>
      </c>
      <c r="E65" s="484">
        <f t="shared" si="13"/>
        <v>0</v>
      </c>
      <c r="F65" s="485">
        <f t="shared" si="14"/>
        <v>0</v>
      </c>
      <c r="G65" s="486">
        <f t="shared" si="15"/>
        <v>0</v>
      </c>
      <c r="H65" s="455">
        <f t="shared" si="16"/>
        <v>0</v>
      </c>
      <c r="I65" s="475">
        <f t="shared" si="4"/>
        <v>0</v>
      </c>
      <c r="J65" s="475"/>
      <c r="K65" s="487"/>
      <c r="L65" s="478">
        <f t="shared" si="17"/>
        <v>0</v>
      </c>
      <c r="M65" s="487"/>
      <c r="N65" s="478">
        <f t="shared" si="5"/>
        <v>0</v>
      </c>
      <c r="O65" s="478">
        <f t="shared" si="6"/>
        <v>0</v>
      </c>
      <c r="P65" s="243"/>
    </row>
    <row r="66" spans="2:16">
      <c r="B66" s="160" t="str">
        <f t="shared" si="3"/>
        <v/>
      </c>
      <c r="C66" s="472">
        <f>IF(D11="","-",+C65+1)</f>
        <v>2063</v>
      </c>
      <c r="D66" s="485">
        <f>IF(F65+SUM(E$17:E65)=D$10,F65,D$10-SUM(E$17:E65))</f>
        <v>0</v>
      </c>
      <c r="E66" s="484">
        <f t="shared" si="13"/>
        <v>0</v>
      </c>
      <c r="F66" s="485">
        <f t="shared" si="14"/>
        <v>0</v>
      </c>
      <c r="G66" s="486">
        <f t="shared" si="15"/>
        <v>0</v>
      </c>
      <c r="H66" s="455">
        <f t="shared" si="16"/>
        <v>0</v>
      </c>
      <c r="I66" s="475">
        <f t="shared" si="4"/>
        <v>0</v>
      </c>
      <c r="J66" s="475"/>
      <c r="K66" s="487"/>
      <c r="L66" s="478">
        <f t="shared" si="17"/>
        <v>0</v>
      </c>
      <c r="M66" s="487"/>
      <c r="N66" s="478">
        <f t="shared" si="5"/>
        <v>0</v>
      </c>
      <c r="O66" s="478">
        <f t="shared" si="6"/>
        <v>0</v>
      </c>
      <c r="P66" s="243"/>
    </row>
    <row r="67" spans="2:16">
      <c r="B67" s="160" t="str">
        <f t="shared" si="3"/>
        <v/>
      </c>
      <c r="C67" s="472">
        <f>IF(D11="","-",+C66+1)</f>
        <v>2064</v>
      </c>
      <c r="D67" s="485">
        <f>IF(F66+SUM(E$17:E66)=D$10,F66,D$10-SUM(E$17:E66))</f>
        <v>0</v>
      </c>
      <c r="E67" s="484">
        <f t="shared" si="13"/>
        <v>0</v>
      </c>
      <c r="F67" s="485">
        <f t="shared" si="14"/>
        <v>0</v>
      </c>
      <c r="G67" s="486">
        <f t="shared" si="15"/>
        <v>0</v>
      </c>
      <c r="H67" s="455">
        <f t="shared" si="16"/>
        <v>0</v>
      </c>
      <c r="I67" s="475">
        <f t="shared" si="4"/>
        <v>0</v>
      </c>
      <c r="J67" s="475"/>
      <c r="K67" s="487"/>
      <c r="L67" s="478">
        <f t="shared" si="17"/>
        <v>0</v>
      </c>
      <c r="M67" s="487"/>
      <c r="N67" s="478">
        <f t="shared" si="5"/>
        <v>0</v>
      </c>
      <c r="O67" s="478">
        <f t="shared" si="6"/>
        <v>0</v>
      </c>
      <c r="P67" s="243"/>
    </row>
    <row r="68" spans="2:16">
      <c r="B68" s="160" t="str">
        <f t="shared" si="3"/>
        <v/>
      </c>
      <c r="C68" s="472">
        <f>IF(D11="","-",+C67+1)</f>
        <v>2065</v>
      </c>
      <c r="D68" s="485">
        <f>IF(F67+SUM(E$17:E67)=D$10,F67,D$10-SUM(E$17:E67))</f>
        <v>0</v>
      </c>
      <c r="E68" s="484">
        <f t="shared" si="13"/>
        <v>0</v>
      </c>
      <c r="F68" s="485">
        <f t="shared" si="14"/>
        <v>0</v>
      </c>
      <c r="G68" s="486">
        <f t="shared" si="15"/>
        <v>0</v>
      </c>
      <c r="H68" s="455">
        <f t="shared" si="16"/>
        <v>0</v>
      </c>
      <c r="I68" s="475">
        <f t="shared" si="4"/>
        <v>0</v>
      </c>
      <c r="J68" s="475"/>
      <c r="K68" s="487"/>
      <c r="L68" s="478">
        <f t="shared" si="17"/>
        <v>0</v>
      </c>
      <c r="M68" s="487"/>
      <c r="N68" s="478">
        <f t="shared" si="5"/>
        <v>0</v>
      </c>
      <c r="O68" s="478">
        <f t="shared" si="6"/>
        <v>0</v>
      </c>
      <c r="P68" s="243"/>
    </row>
    <row r="69" spans="2:16">
      <c r="B69" s="160" t="str">
        <f t="shared" si="3"/>
        <v/>
      </c>
      <c r="C69" s="472">
        <f>IF(D11="","-",+C68+1)</f>
        <v>2066</v>
      </c>
      <c r="D69" s="485">
        <f>IF(F68+SUM(E$17:E68)=D$10,F68,D$10-SUM(E$17:E68))</f>
        <v>0</v>
      </c>
      <c r="E69" s="484">
        <f t="shared" si="13"/>
        <v>0</v>
      </c>
      <c r="F69" s="485">
        <f t="shared" si="14"/>
        <v>0</v>
      </c>
      <c r="G69" s="486">
        <f t="shared" si="15"/>
        <v>0</v>
      </c>
      <c r="H69" s="455">
        <f t="shared" si="16"/>
        <v>0</v>
      </c>
      <c r="I69" s="475">
        <f t="shared" si="4"/>
        <v>0</v>
      </c>
      <c r="J69" s="475"/>
      <c r="K69" s="487"/>
      <c r="L69" s="478">
        <f t="shared" si="17"/>
        <v>0</v>
      </c>
      <c r="M69" s="487"/>
      <c r="N69" s="478">
        <f t="shared" si="5"/>
        <v>0</v>
      </c>
      <c r="O69" s="478">
        <f t="shared" si="6"/>
        <v>0</v>
      </c>
      <c r="P69" s="243"/>
    </row>
    <row r="70" spans="2:16">
      <c r="B70" s="160" t="str">
        <f t="shared" si="3"/>
        <v/>
      </c>
      <c r="C70" s="472">
        <f>IF(D11="","-",+C69+1)</f>
        <v>2067</v>
      </c>
      <c r="D70" s="485">
        <f>IF(F69+SUM(E$17:E69)=D$10,F69,D$10-SUM(E$17:E69))</f>
        <v>0</v>
      </c>
      <c r="E70" s="484">
        <f t="shared" si="13"/>
        <v>0</v>
      </c>
      <c r="F70" s="485">
        <f t="shared" si="14"/>
        <v>0</v>
      </c>
      <c r="G70" s="486">
        <f t="shared" si="15"/>
        <v>0</v>
      </c>
      <c r="H70" s="455">
        <f t="shared" si="16"/>
        <v>0</v>
      </c>
      <c r="I70" s="475">
        <f t="shared" si="4"/>
        <v>0</v>
      </c>
      <c r="J70" s="475"/>
      <c r="K70" s="487"/>
      <c r="L70" s="478">
        <f t="shared" si="17"/>
        <v>0</v>
      </c>
      <c r="M70" s="487"/>
      <c r="N70" s="478">
        <f t="shared" si="5"/>
        <v>0</v>
      </c>
      <c r="O70" s="478">
        <f t="shared" si="6"/>
        <v>0</v>
      </c>
      <c r="P70" s="243"/>
    </row>
    <row r="71" spans="2:16">
      <c r="B71" s="160" t="str">
        <f t="shared" si="3"/>
        <v/>
      </c>
      <c r="C71" s="472">
        <f>IF(D11="","-",+C70+1)</f>
        <v>2068</v>
      </c>
      <c r="D71" s="485">
        <f>IF(F70+SUM(E$17:E70)=D$10,F70,D$10-SUM(E$17:E70))</f>
        <v>0</v>
      </c>
      <c r="E71" s="484">
        <f t="shared" si="13"/>
        <v>0</v>
      </c>
      <c r="F71" s="485">
        <f t="shared" si="14"/>
        <v>0</v>
      </c>
      <c r="G71" s="486">
        <f t="shared" si="15"/>
        <v>0</v>
      </c>
      <c r="H71" s="455">
        <f t="shared" si="16"/>
        <v>0</v>
      </c>
      <c r="I71" s="475">
        <f t="shared" si="4"/>
        <v>0</v>
      </c>
      <c r="J71" s="475"/>
      <c r="K71" s="487"/>
      <c r="L71" s="478">
        <f t="shared" si="17"/>
        <v>0</v>
      </c>
      <c r="M71" s="487"/>
      <c r="N71" s="478">
        <f t="shared" si="5"/>
        <v>0</v>
      </c>
      <c r="O71" s="478">
        <f t="shared" si="6"/>
        <v>0</v>
      </c>
      <c r="P71" s="243"/>
    </row>
    <row r="72" spans="2:16" ht="13.5" thickBot="1">
      <c r="B72" s="160" t="str">
        <f t="shared" si="3"/>
        <v/>
      </c>
      <c r="C72" s="489">
        <f>IF(D11="","-",+C71+1)</f>
        <v>2069</v>
      </c>
      <c r="D72" s="490">
        <f>IF(F71+SUM(E$17:E71)=D$10,F71,D$10-SUM(E$17:E71))</f>
        <v>0</v>
      </c>
      <c r="E72" s="491">
        <f t="shared" si="13"/>
        <v>0</v>
      </c>
      <c r="F72" s="490">
        <f t="shared" si="14"/>
        <v>0</v>
      </c>
      <c r="G72" s="490">
        <f t="shared" si="15"/>
        <v>0</v>
      </c>
      <c r="H72" s="490">
        <f t="shared" si="16"/>
        <v>0</v>
      </c>
      <c r="I72" s="495">
        <f t="shared" si="4"/>
        <v>0</v>
      </c>
      <c r="J72" s="490"/>
      <c r="K72" s="494"/>
      <c r="L72" s="495">
        <f t="shared" si="17"/>
        <v>0</v>
      </c>
      <c r="M72" s="494"/>
      <c r="N72" s="495">
        <f t="shared" si="5"/>
        <v>0</v>
      </c>
      <c r="O72" s="495">
        <f t="shared" si="6"/>
        <v>0</v>
      </c>
      <c r="P72" s="243"/>
    </row>
    <row r="73" spans="2:16">
      <c r="C73" s="347" t="s">
        <v>77</v>
      </c>
      <c r="D73" s="348"/>
      <c r="E73" s="348">
        <f>SUM(E17:E72)</f>
        <v>2246628.5699999998</v>
      </c>
      <c r="F73" s="348"/>
      <c r="G73" s="348">
        <f>SUM(G17:G72)</f>
        <v>8204730.3632527534</v>
      </c>
      <c r="H73" s="348">
        <f>SUM(H17:H72)</f>
        <v>8204730.3632527534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15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253094.17604651162</v>
      </c>
      <c r="N87" s="508">
        <f>IF(J92&lt;D11,0,VLOOKUP(J92,C17:O72,11))</f>
        <v>253094.17604651162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269073.88722723804</v>
      </c>
      <c r="N88" s="512">
        <f>IF(J92&lt;D11,0,VLOOKUP(J92,C99:P154,7))</f>
        <v>269073.88722723804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Locust Grove to Lone Star 115 kV Rebuild 2.1 miles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15979.711180726415</v>
      </c>
      <c r="N89" s="517">
        <f>+N88-N87</f>
        <v>15979.711180726415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TP2009093</v>
      </c>
      <c r="E91" s="522" t="str">
        <f>E9</f>
        <v xml:space="preserve">  SPP Project ID = 649</v>
      </c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f>+D10</f>
        <v>2246628.5699999998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604" t="s">
        <v>272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+D12</f>
        <v>2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54796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 t="str">
        <f>IF(D93= "","-",D93)</f>
        <v>2014</v>
      </c>
      <c r="D99" s="584">
        <v>0</v>
      </c>
      <c r="E99" s="585">
        <v>36003.333333333336</v>
      </c>
      <c r="F99" s="586">
        <v>2210625.2366666663</v>
      </c>
      <c r="G99" s="605">
        <v>1105312.6183333332</v>
      </c>
      <c r="H99" s="606">
        <v>191405.76922123961</v>
      </c>
      <c r="I99" s="607">
        <v>191405.76922123961</v>
      </c>
      <c r="J99" s="478">
        <v>0</v>
      </c>
      <c r="K99" s="478"/>
      <c r="L99" s="476">
        <f t="shared" ref="L99:L104" si="18">H99</f>
        <v>191405.76922123961</v>
      </c>
      <c r="M99" s="349">
        <f t="shared" ref="M99:M104" si="19">IF(L99&lt;&gt;0,+H99-L99,0)</f>
        <v>0</v>
      </c>
      <c r="N99" s="476">
        <f t="shared" ref="N99:N104" si="20">I99</f>
        <v>191405.76922123961</v>
      </c>
      <c r="O99" s="475">
        <f>IF(N99&lt;&gt;0,+I99-N99,0)</f>
        <v>0</v>
      </c>
      <c r="P99" s="478">
        <f>+O99-M99</f>
        <v>0</v>
      </c>
    </row>
    <row r="100" spans="1:16">
      <c r="B100" s="160" t="str">
        <f>IF(D100=F99,"","IU")</f>
        <v/>
      </c>
      <c r="C100" s="472">
        <f>IF(D93="","-",+C99+1)</f>
        <v>2015</v>
      </c>
      <c r="D100" s="584">
        <v>2210625.2366666663</v>
      </c>
      <c r="E100" s="585">
        <v>43204</v>
      </c>
      <c r="F100" s="586">
        <v>2167421.2366666663</v>
      </c>
      <c r="G100" s="586">
        <v>2189023.2366666663</v>
      </c>
      <c r="H100" s="606">
        <v>341878.62002899748</v>
      </c>
      <c r="I100" s="607">
        <v>341878.62002899748</v>
      </c>
      <c r="J100" s="478">
        <f>+I100-H100</f>
        <v>0</v>
      </c>
      <c r="K100" s="478"/>
      <c r="L100" s="476">
        <f t="shared" si="18"/>
        <v>341878.62002899748</v>
      </c>
      <c r="M100" s="349">
        <f t="shared" si="19"/>
        <v>0</v>
      </c>
      <c r="N100" s="476">
        <f t="shared" si="20"/>
        <v>341878.62002899748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21">IF(D101=F100,"","IU")</f>
        <v/>
      </c>
      <c r="C101" s="472">
        <f>IF(D93="","-",+C100+1)</f>
        <v>2016</v>
      </c>
      <c r="D101" s="584">
        <v>2167421.2366666663</v>
      </c>
      <c r="E101" s="585">
        <v>48840</v>
      </c>
      <c r="F101" s="586">
        <v>2118581.2366666663</v>
      </c>
      <c r="G101" s="586">
        <v>2143001.2366666663</v>
      </c>
      <c r="H101" s="606">
        <v>325106.60926354182</v>
      </c>
      <c r="I101" s="607">
        <v>325106.60926354182</v>
      </c>
      <c r="J101" s="478">
        <f t="shared" ref="J101:J154" si="22">+I101-H101</f>
        <v>0</v>
      </c>
      <c r="K101" s="478"/>
      <c r="L101" s="476">
        <f t="shared" si="18"/>
        <v>325106.60926354182</v>
      </c>
      <c r="M101" s="349">
        <f t="shared" si="19"/>
        <v>0</v>
      </c>
      <c r="N101" s="476">
        <f t="shared" si="20"/>
        <v>325106.60926354182</v>
      </c>
      <c r="O101" s="475">
        <f>IF(N101&lt;&gt;0,+I101-N101,0)</f>
        <v>0</v>
      </c>
      <c r="P101" s="478">
        <f>+O101-M101</f>
        <v>0</v>
      </c>
    </row>
    <row r="102" spans="1:16">
      <c r="B102" s="160" t="str">
        <f t="shared" si="21"/>
        <v/>
      </c>
      <c r="C102" s="472">
        <f>IF(D93="","-",+C101+1)</f>
        <v>2017</v>
      </c>
      <c r="D102" s="584">
        <v>2118581.2366666663</v>
      </c>
      <c r="E102" s="585">
        <v>48840</v>
      </c>
      <c r="F102" s="586">
        <v>2069741.2366666663</v>
      </c>
      <c r="G102" s="586">
        <v>2094161.2366666663</v>
      </c>
      <c r="H102" s="606">
        <v>314489.63330060086</v>
      </c>
      <c r="I102" s="607">
        <v>314489.63330060086</v>
      </c>
      <c r="J102" s="478">
        <f t="shared" si="22"/>
        <v>0</v>
      </c>
      <c r="K102" s="478"/>
      <c r="L102" s="476">
        <f t="shared" si="18"/>
        <v>314489.63330060086</v>
      </c>
      <c r="M102" s="349">
        <f t="shared" si="19"/>
        <v>0</v>
      </c>
      <c r="N102" s="476">
        <f t="shared" si="20"/>
        <v>314489.63330060086</v>
      </c>
      <c r="O102" s="475">
        <f>IF(N102&lt;&gt;0,+I102-N102,0)</f>
        <v>0</v>
      </c>
      <c r="P102" s="478">
        <f>+O102-M102</f>
        <v>0</v>
      </c>
    </row>
    <row r="103" spans="1:16">
      <c r="B103" s="160" t="str">
        <f t="shared" si="21"/>
        <v/>
      </c>
      <c r="C103" s="472">
        <f>IF(D93="","-",+C102+1)</f>
        <v>2018</v>
      </c>
      <c r="D103" s="584">
        <v>2069741.2366666663</v>
      </c>
      <c r="E103" s="585">
        <v>52247</v>
      </c>
      <c r="F103" s="586">
        <v>2017494.2366666663</v>
      </c>
      <c r="G103" s="586">
        <v>2043617.7366666663</v>
      </c>
      <c r="H103" s="606">
        <v>262199.22655399318</v>
      </c>
      <c r="I103" s="607">
        <v>262199.22655399318</v>
      </c>
      <c r="J103" s="478">
        <f t="shared" si="22"/>
        <v>0</v>
      </c>
      <c r="K103" s="478"/>
      <c r="L103" s="476">
        <f t="shared" si="18"/>
        <v>262199.22655399318</v>
      </c>
      <c r="M103" s="349">
        <f t="shared" si="19"/>
        <v>0</v>
      </c>
      <c r="N103" s="476">
        <f t="shared" si="20"/>
        <v>262199.22655399318</v>
      </c>
      <c r="O103" s="475">
        <f>IF(N103&lt;&gt;0,+I103-N103,0)</f>
        <v>0</v>
      </c>
      <c r="P103" s="478">
        <f>+O103-M103</f>
        <v>0</v>
      </c>
    </row>
    <row r="104" spans="1:16">
      <c r="B104" s="160" t="str">
        <f t="shared" si="21"/>
        <v/>
      </c>
      <c r="C104" s="472">
        <f>IF(D93="","-",+C103+1)</f>
        <v>2019</v>
      </c>
      <c r="D104" s="584">
        <v>2017494.2366666663</v>
      </c>
      <c r="E104" s="585">
        <v>54796</v>
      </c>
      <c r="F104" s="586">
        <v>1962698.2366666663</v>
      </c>
      <c r="G104" s="586">
        <v>1990096.2366666663</v>
      </c>
      <c r="H104" s="606">
        <v>260002.83525061089</v>
      </c>
      <c r="I104" s="607">
        <v>260002.83525061089</v>
      </c>
      <c r="J104" s="478">
        <f t="shared" si="22"/>
        <v>0</v>
      </c>
      <c r="K104" s="478"/>
      <c r="L104" s="476">
        <f t="shared" si="18"/>
        <v>260002.83525061089</v>
      </c>
      <c r="M104" s="349">
        <f t="shared" si="19"/>
        <v>0</v>
      </c>
      <c r="N104" s="476">
        <f t="shared" si="20"/>
        <v>260002.83525061089</v>
      </c>
      <c r="O104" s="478">
        <f t="shared" ref="O104:O130" si="23">IF(N104&lt;&gt;0,+I104-N104,0)</f>
        <v>0</v>
      </c>
      <c r="P104" s="478">
        <f t="shared" ref="P104:P130" si="24">+O104-M104</f>
        <v>0</v>
      </c>
    </row>
    <row r="105" spans="1:16">
      <c r="B105" s="160" t="str">
        <f t="shared" si="21"/>
        <v/>
      </c>
      <c r="C105" s="472">
        <f>IF(D93="","-",+C104+1)</f>
        <v>2020</v>
      </c>
      <c r="D105" s="584">
        <v>1962698.2366666663</v>
      </c>
      <c r="E105" s="585">
        <v>52247</v>
      </c>
      <c r="F105" s="586">
        <v>1910451.2366666663</v>
      </c>
      <c r="G105" s="586">
        <v>1936574.7366666663</v>
      </c>
      <c r="H105" s="606">
        <v>275528.74296443292</v>
      </c>
      <c r="I105" s="607">
        <v>275528.74296443292</v>
      </c>
      <c r="J105" s="478">
        <f t="shared" si="22"/>
        <v>0</v>
      </c>
      <c r="K105" s="478"/>
      <c r="L105" s="476">
        <f t="shared" ref="L105" si="25">H105</f>
        <v>275528.74296443292</v>
      </c>
      <c r="M105" s="349">
        <f t="shared" ref="M105" si="26">IF(L105&lt;&gt;0,+H105-L105,0)</f>
        <v>0</v>
      </c>
      <c r="N105" s="476">
        <f t="shared" ref="N105" si="27">I105</f>
        <v>275528.74296443292</v>
      </c>
      <c r="O105" s="478">
        <f t="shared" si="23"/>
        <v>0</v>
      </c>
      <c r="P105" s="478">
        <f t="shared" si="24"/>
        <v>0</v>
      </c>
    </row>
    <row r="106" spans="1:16">
      <c r="B106" s="160" t="str">
        <f t="shared" si="21"/>
        <v/>
      </c>
      <c r="C106" s="472">
        <f>IF(D93="","-",+C105+1)</f>
        <v>2021</v>
      </c>
      <c r="D106" s="347">
        <f>IF(F105+SUM(E$99:E105)=D$92,F105,D$92-SUM(E$99:E105))</f>
        <v>1910451.2366666663</v>
      </c>
      <c r="E106" s="484">
        <f t="shared" ref="E106:E154" si="28">IF(+J$96&lt;F105,J$96,D106)</f>
        <v>54796</v>
      </c>
      <c r="F106" s="485">
        <f t="shared" ref="F106:F154" si="29">+D106-E106</f>
        <v>1855655.2366666663</v>
      </c>
      <c r="G106" s="485">
        <f t="shared" ref="G106:G154" si="30">+(F106+D106)/2</f>
        <v>1883053.2366666663</v>
      </c>
      <c r="H106" s="486">
        <f t="shared" ref="H106:H153" si="31">(D106+F106)/2*J$94+E106</f>
        <v>269073.88722723804</v>
      </c>
      <c r="I106" s="542">
        <f t="shared" ref="I106:I153" si="32">+J$95*G106+E106</f>
        <v>269073.88722723804</v>
      </c>
      <c r="J106" s="478">
        <f t="shared" si="22"/>
        <v>0</v>
      </c>
      <c r="K106" s="478"/>
      <c r="L106" s="487"/>
      <c r="M106" s="478">
        <f t="shared" ref="M106:M130" si="33">IF(L106&lt;&gt;0,+H106-L106,0)</f>
        <v>0</v>
      </c>
      <c r="N106" s="487"/>
      <c r="O106" s="478">
        <f t="shared" si="23"/>
        <v>0</v>
      </c>
      <c r="P106" s="478">
        <f t="shared" si="24"/>
        <v>0</v>
      </c>
    </row>
    <row r="107" spans="1:16">
      <c r="B107" s="160" t="str">
        <f t="shared" si="21"/>
        <v/>
      </c>
      <c r="C107" s="472">
        <f>IF(D93="","-",+C106+1)</f>
        <v>2022</v>
      </c>
      <c r="D107" s="347">
        <f>IF(F106+SUM(E$99:E106)=D$92,F106,D$92-SUM(E$99:E106))</f>
        <v>1855655.2366666663</v>
      </c>
      <c r="E107" s="484">
        <f t="shared" si="28"/>
        <v>54796</v>
      </c>
      <c r="F107" s="485">
        <f t="shared" si="29"/>
        <v>1800859.2366666663</v>
      </c>
      <c r="G107" s="485">
        <f t="shared" si="30"/>
        <v>1828257.2366666663</v>
      </c>
      <c r="H107" s="486">
        <f t="shared" si="31"/>
        <v>262838.49734028592</v>
      </c>
      <c r="I107" s="542">
        <f t="shared" si="32"/>
        <v>262838.49734028592</v>
      </c>
      <c r="J107" s="478">
        <f t="shared" si="22"/>
        <v>0</v>
      </c>
      <c r="K107" s="478"/>
      <c r="L107" s="487"/>
      <c r="M107" s="478">
        <f t="shared" si="33"/>
        <v>0</v>
      </c>
      <c r="N107" s="487"/>
      <c r="O107" s="478">
        <f t="shared" si="23"/>
        <v>0</v>
      </c>
      <c r="P107" s="478">
        <f t="shared" si="24"/>
        <v>0</v>
      </c>
    </row>
    <row r="108" spans="1:16">
      <c r="B108" s="160" t="str">
        <f t="shared" si="21"/>
        <v/>
      </c>
      <c r="C108" s="472">
        <f>IF(D93="","-",+C107+1)</f>
        <v>2023</v>
      </c>
      <c r="D108" s="347">
        <f>IF(F107+SUM(E$99:E107)=D$92,F107,D$92-SUM(E$99:E107))</f>
        <v>1800859.2366666663</v>
      </c>
      <c r="E108" s="484">
        <f t="shared" si="28"/>
        <v>54796</v>
      </c>
      <c r="F108" s="485">
        <f t="shared" si="29"/>
        <v>1746063.2366666663</v>
      </c>
      <c r="G108" s="485">
        <f t="shared" si="30"/>
        <v>1773461.2366666663</v>
      </c>
      <c r="H108" s="486">
        <f t="shared" si="31"/>
        <v>256603.10745333383</v>
      </c>
      <c r="I108" s="542">
        <f t="shared" si="32"/>
        <v>256603.10745333383</v>
      </c>
      <c r="J108" s="478">
        <f t="shared" si="22"/>
        <v>0</v>
      </c>
      <c r="K108" s="478"/>
      <c r="L108" s="487"/>
      <c r="M108" s="478">
        <f t="shared" si="33"/>
        <v>0</v>
      </c>
      <c r="N108" s="487"/>
      <c r="O108" s="478">
        <f t="shared" si="23"/>
        <v>0</v>
      </c>
      <c r="P108" s="478">
        <f t="shared" si="24"/>
        <v>0</v>
      </c>
    </row>
    <row r="109" spans="1:16">
      <c r="B109" s="160" t="str">
        <f t="shared" si="21"/>
        <v/>
      </c>
      <c r="C109" s="472">
        <f>IF(D93="","-",+C108+1)</f>
        <v>2024</v>
      </c>
      <c r="D109" s="347">
        <f>IF(F108+SUM(E$99:E108)=D$92,F108,D$92-SUM(E$99:E108))</f>
        <v>1746063.2366666663</v>
      </c>
      <c r="E109" s="484">
        <f t="shared" si="28"/>
        <v>54796</v>
      </c>
      <c r="F109" s="485">
        <f t="shared" si="29"/>
        <v>1691267.2366666663</v>
      </c>
      <c r="G109" s="485">
        <f t="shared" si="30"/>
        <v>1718665.2366666663</v>
      </c>
      <c r="H109" s="486">
        <f t="shared" si="31"/>
        <v>250367.71756638173</v>
      </c>
      <c r="I109" s="542">
        <f t="shared" si="32"/>
        <v>250367.71756638173</v>
      </c>
      <c r="J109" s="478">
        <f t="shared" si="22"/>
        <v>0</v>
      </c>
      <c r="K109" s="478"/>
      <c r="L109" s="487"/>
      <c r="M109" s="478">
        <f t="shared" si="33"/>
        <v>0</v>
      </c>
      <c r="N109" s="487"/>
      <c r="O109" s="478">
        <f t="shared" si="23"/>
        <v>0</v>
      </c>
      <c r="P109" s="478">
        <f t="shared" si="24"/>
        <v>0</v>
      </c>
    </row>
    <row r="110" spans="1:16">
      <c r="B110" s="160" t="str">
        <f t="shared" si="21"/>
        <v/>
      </c>
      <c r="C110" s="472">
        <f>IF(D93="","-",+C109+1)</f>
        <v>2025</v>
      </c>
      <c r="D110" s="347">
        <f>IF(F109+SUM(E$99:E109)=D$92,F109,D$92-SUM(E$99:E109))</f>
        <v>1691267.2366666663</v>
      </c>
      <c r="E110" s="484">
        <f t="shared" si="28"/>
        <v>54796</v>
      </c>
      <c r="F110" s="485">
        <f t="shared" si="29"/>
        <v>1636471.2366666663</v>
      </c>
      <c r="G110" s="485">
        <f t="shared" si="30"/>
        <v>1663869.2366666663</v>
      </c>
      <c r="H110" s="486">
        <f t="shared" si="31"/>
        <v>244132.32767942964</v>
      </c>
      <c r="I110" s="542">
        <f t="shared" si="32"/>
        <v>244132.32767942964</v>
      </c>
      <c r="J110" s="478">
        <f t="shared" si="22"/>
        <v>0</v>
      </c>
      <c r="K110" s="478"/>
      <c r="L110" s="487"/>
      <c r="M110" s="478">
        <f t="shared" si="33"/>
        <v>0</v>
      </c>
      <c r="N110" s="487"/>
      <c r="O110" s="478">
        <f t="shared" si="23"/>
        <v>0</v>
      </c>
      <c r="P110" s="478">
        <f t="shared" si="24"/>
        <v>0</v>
      </c>
    </row>
    <row r="111" spans="1:16">
      <c r="B111" s="160" t="str">
        <f t="shared" si="21"/>
        <v/>
      </c>
      <c r="C111" s="472">
        <f>IF(D93="","-",+C110+1)</f>
        <v>2026</v>
      </c>
      <c r="D111" s="347">
        <f>IF(F110+SUM(E$99:E110)=D$92,F110,D$92-SUM(E$99:E110))</f>
        <v>1636471.2366666663</v>
      </c>
      <c r="E111" s="484">
        <f t="shared" si="28"/>
        <v>54796</v>
      </c>
      <c r="F111" s="485">
        <f t="shared" si="29"/>
        <v>1581675.2366666663</v>
      </c>
      <c r="G111" s="485">
        <f t="shared" si="30"/>
        <v>1609073.2366666663</v>
      </c>
      <c r="H111" s="486">
        <f t="shared" si="31"/>
        <v>237896.93779247755</v>
      </c>
      <c r="I111" s="542">
        <f t="shared" si="32"/>
        <v>237896.93779247755</v>
      </c>
      <c r="J111" s="478">
        <f t="shared" si="22"/>
        <v>0</v>
      </c>
      <c r="K111" s="478"/>
      <c r="L111" s="487"/>
      <c r="M111" s="478">
        <f t="shared" si="33"/>
        <v>0</v>
      </c>
      <c r="N111" s="487"/>
      <c r="O111" s="478">
        <f t="shared" si="23"/>
        <v>0</v>
      </c>
      <c r="P111" s="478">
        <f t="shared" si="24"/>
        <v>0</v>
      </c>
    </row>
    <row r="112" spans="1:16">
      <c r="B112" s="160" t="str">
        <f t="shared" si="21"/>
        <v/>
      </c>
      <c r="C112" s="472">
        <f>IF(D93="","-",+C111+1)</f>
        <v>2027</v>
      </c>
      <c r="D112" s="347">
        <f>IF(F111+SUM(E$99:E111)=D$92,F111,D$92-SUM(E$99:E111))</f>
        <v>1581675.2366666663</v>
      </c>
      <c r="E112" s="484">
        <f t="shared" si="28"/>
        <v>54796</v>
      </c>
      <c r="F112" s="485">
        <f t="shared" si="29"/>
        <v>1526879.2366666663</v>
      </c>
      <c r="G112" s="485">
        <f t="shared" si="30"/>
        <v>1554277.2366666663</v>
      </c>
      <c r="H112" s="486">
        <f t="shared" si="31"/>
        <v>231661.54790552545</v>
      </c>
      <c r="I112" s="542">
        <f t="shared" si="32"/>
        <v>231661.54790552545</v>
      </c>
      <c r="J112" s="478">
        <f t="shared" si="22"/>
        <v>0</v>
      </c>
      <c r="K112" s="478"/>
      <c r="L112" s="487"/>
      <c r="M112" s="478">
        <f t="shared" si="33"/>
        <v>0</v>
      </c>
      <c r="N112" s="487"/>
      <c r="O112" s="478">
        <f t="shared" si="23"/>
        <v>0</v>
      </c>
      <c r="P112" s="478">
        <f t="shared" si="24"/>
        <v>0</v>
      </c>
    </row>
    <row r="113" spans="2:16">
      <c r="B113" s="160" t="str">
        <f t="shared" si="21"/>
        <v/>
      </c>
      <c r="C113" s="472">
        <f>IF(D93="","-",+C112+1)</f>
        <v>2028</v>
      </c>
      <c r="D113" s="347">
        <f>IF(F112+SUM(E$99:E112)=D$92,F112,D$92-SUM(E$99:E112))</f>
        <v>1526879.2366666663</v>
      </c>
      <c r="E113" s="484">
        <f t="shared" si="28"/>
        <v>54796</v>
      </c>
      <c r="F113" s="485">
        <f t="shared" si="29"/>
        <v>1472083.2366666663</v>
      </c>
      <c r="G113" s="485">
        <f t="shared" si="30"/>
        <v>1499481.2366666663</v>
      </c>
      <c r="H113" s="486">
        <f t="shared" si="31"/>
        <v>225426.15801857336</v>
      </c>
      <c r="I113" s="542">
        <f t="shared" si="32"/>
        <v>225426.15801857336</v>
      </c>
      <c r="J113" s="478">
        <f t="shared" si="22"/>
        <v>0</v>
      </c>
      <c r="K113" s="478"/>
      <c r="L113" s="487"/>
      <c r="M113" s="478">
        <f t="shared" si="33"/>
        <v>0</v>
      </c>
      <c r="N113" s="487"/>
      <c r="O113" s="478">
        <f t="shared" si="23"/>
        <v>0</v>
      </c>
      <c r="P113" s="478">
        <f t="shared" si="24"/>
        <v>0</v>
      </c>
    </row>
    <row r="114" spans="2:16">
      <c r="B114" s="160" t="str">
        <f t="shared" si="21"/>
        <v/>
      </c>
      <c r="C114" s="472">
        <f>IF(D93="","-",+C113+1)</f>
        <v>2029</v>
      </c>
      <c r="D114" s="347">
        <f>IF(F113+SUM(E$99:E113)=D$92,F113,D$92-SUM(E$99:E113))</f>
        <v>1472083.2366666663</v>
      </c>
      <c r="E114" s="484">
        <f t="shared" si="28"/>
        <v>54796</v>
      </c>
      <c r="F114" s="485">
        <f t="shared" si="29"/>
        <v>1417287.2366666663</v>
      </c>
      <c r="G114" s="485">
        <f t="shared" si="30"/>
        <v>1444685.2366666663</v>
      </c>
      <c r="H114" s="486">
        <f t="shared" si="31"/>
        <v>219190.76813162127</v>
      </c>
      <c r="I114" s="542">
        <f t="shared" si="32"/>
        <v>219190.76813162127</v>
      </c>
      <c r="J114" s="478">
        <f t="shared" si="22"/>
        <v>0</v>
      </c>
      <c r="K114" s="478"/>
      <c r="L114" s="487"/>
      <c r="M114" s="478">
        <f t="shared" si="33"/>
        <v>0</v>
      </c>
      <c r="N114" s="487"/>
      <c r="O114" s="478">
        <f t="shared" si="23"/>
        <v>0</v>
      </c>
      <c r="P114" s="478">
        <f t="shared" si="24"/>
        <v>0</v>
      </c>
    </row>
    <row r="115" spans="2:16">
      <c r="B115" s="160" t="str">
        <f t="shared" si="21"/>
        <v/>
      </c>
      <c r="C115" s="472">
        <f>IF(D93="","-",+C114+1)</f>
        <v>2030</v>
      </c>
      <c r="D115" s="347">
        <f>IF(F114+SUM(E$99:E114)=D$92,F114,D$92-SUM(E$99:E114))</f>
        <v>1417287.2366666663</v>
      </c>
      <c r="E115" s="484">
        <f t="shared" si="28"/>
        <v>54796</v>
      </c>
      <c r="F115" s="485">
        <f t="shared" si="29"/>
        <v>1362491.2366666663</v>
      </c>
      <c r="G115" s="485">
        <f t="shared" si="30"/>
        <v>1389889.2366666663</v>
      </c>
      <c r="H115" s="486">
        <f t="shared" si="31"/>
        <v>212955.37824466918</v>
      </c>
      <c r="I115" s="542">
        <f t="shared" si="32"/>
        <v>212955.37824466918</v>
      </c>
      <c r="J115" s="478">
        <f t="shared" si="22"/>
        <v>0</v>
      </c>
      <c r="K115" s="478"/>
      <c r="L115" s="487"/>
      <c r="M115" s="478">
        <f t="shared" si="33"/>
        <v>0</v>
      </c>
      <c r="N115" s="487"/>
      <c r="O115" s="478">
        <f t="shared" si="23"/>
        <v>0</v>
      </c>
      <c r="P115" s="478">
        <f t="shared" si="24"/>
        <v>0</v>
      </c>
    </row>
    <row r="116" spans="2:16">
      <c r="B116" s="160" t="str">
        <f t="shared" si="21"/>
        <v/>
      </c>
      <c r="C116" s="472">
        <f>IF(D93="","-",+C115+1)</f>
        <v>2031</v>
      </c>
      <c r="D116" s="347">
        <f>IF(F115+SUM(E$99:E115)=D$92,F115,D$92-SUM(E$99:E115))</f>
        <v>1362491.2366666663</v>
      </c>
      <c r="E116" s="484">
        <f t="shared" si="28"/>
        <v>54796</v>
      </c>
      <c r="F116" s="485">
        <f t="shared" si="29"/>
        <v>1307695.2366666663</v>
      </c>
      <c r="G116" s="485">
        <f t="shared" si="30"/>
        <v>1335093.2366666663</v>
      </c>
      <c r="H116" s="486">
        <f t="shared" si="31"/>
        <v>206719.98835771708</v>
      </c>
      <c r="I116" s="542">
        <f t="shared" si="32"/>
        <v>206719.98835771708</v>
      </c>
      <c r="J116" s="478">
        <f t="shared" si="22"/>
        <v>0</v>
      </c>
      <c r="K116" s="478"/>
      <c r="L116" s="487"/>
      <c r="M116" s="478">
        <f t="shared" si="33"/>
        <v>0</v>
      </c>
      <c r="N116" s="487"/>
      <c r="O116" s="478">
        <f t="shared" si="23"/>
        <v>0</v>
      </c>
      <c r="P116" s="478">
        <f t="shared" si="24"/>
        <v>0</v>
      </c>
    </row>
    <row r="117" spans="2:16">
      <c r="B117" s="160" t="str">
        <f t="shared" si="21"/>
        <v/>
      </c>
      <c r="C117" s="472">
        <f>IF(D93="","-",+C116+1)</f>
        <v>2032</v>
      </c>
      <c r="D117" s="347">
        <f>IF(F116+SUM(E$99:E116)=D$92,F116,D$92-SUM(E$99:E116))</f>
        <v>1307695.2366666663</v>
      </c>
      <c r="E117" s="484">
        <f t="shared" si="28"/>
        <v>54796</v>
      </c>
      <c r="F117" s="485">
        <f t="shared" si="29"/>
        <v>1252899.2366666663</v>
      </c>
      <c r="G117" s="485">
        <f t="shared" si="30"/>
        <v>1280297.2366666663</v>
      </c>
      <c r="H117" s="486">
        <f t="shared" si="31"/>
        <v>200484.59847076499</v>
      </c>
      <c r="I117" s="542">
        <f t="shared" si="32"/>
        <v>200484.59847076499</v>
      </c>
      <c r="J117" s="478">
        <f t="shared" si="22"/>
        <v>0</v>
      </c>
      <c r="K117" s="478"/>
      <c r="L117" s="487"/>
      <c r="M117" s="478">
        <f t="shared" si="33"/>
        <v>0</v>
      </c>
      <c r="N117" s="487"/>
      <c r="O117" s="478">
        <f t="shared" si="23"/>
        <v>0</v>
      </c>
      <c r="P117" s="478">
        <f t="shared" si="24"/>
        <v>0</v>
      </c>
    </row>
    <row r="118" spans="2:16">
      <c r="B118" s="160" t="str">
        <f t="shared" si="21"/>
        <v/>
      </c>
      <c r="C118" s="472">
        <f>IF(D93="","-",+C117+1)</f>
        <v>2033</v>
      </c>
      <c r="D118" s="347">
        <f>IF(F117+SUM(E$99:E117)=D$92,F117,D$92-SUM(E$99:E117))</f>
        <v>1252899.2366666663</v>
      </c>
      <c r="E118" s="484">
        <f t="shared" si="28"/>
        <v>54796</v>
      </c>
      <c r="F118" s="485">
        <f t="shared" si="29"/>
        <v>1198103.2366666663</v>
      </c>
      <c r="G118" s="485">
        <f t="shared" si="30"/>
        <v>1225501.2366666663</v>
      </c>
      <c r="H118" s="486">
        <f t="shared" si="31"/>
        <v>194249.2085838129</v>
      </c>
      <c r="I118" s="542">
        <f t="shared" si="32"/>
        <v>194249.2085838129</v>
      </c>
      <c r="J118" s="478">
        <f t="shared" si="22"/>
        <v>0</v>
      </c>
      <c r="K118" s="478"/>
      <c r="L118" s="487"/>
      <c r="M118" s="478">
        <f t="shared" si="33"/>
        <v>0</v>
      </c>
      <c r="N118" s="487"/>
      <c r="O118" s="478">
        <f t="shared" si="23"/>
        <v>0</v>
      </c>
      <c r="P118" s="478">
        <f t="shared" si="24"/>
        <v>0</v>
      </c>
    </row>
    <row r="119" spans="2:16">
      <c r="B119" s="160" t="str">
        <f t="shared" si="21"/>
        <v/>
      </c>
      <c r="C119" s="472">
        <f>IF(D93="","-",+C118+1)</f>
        <v>2034</v>
      </c>
      <c r="D119" s="347">
        <f>IF(F118+SUM(E$99:E118)=D$92,F118,D$92-SUM(E$99:E118))</f>
        <v>1198103.2366666663</v>
      </c>
      <c r="E119" s="484">
        <f t="shared" si="28"/>
        <v>54796</v>
      </c>
      <c r="F119" s="485">
        <f t="shared" si="29"/>
        <v>1143307.2366666663</v>
      </c>
      <c r="G119" s="485">
        <f t="shared" si="30"/>
        <v>1170705.2366666663</v>
      </c>
      <c r="H119" s="486">
        <f t="shared" si="31"/>
        <v>188013.81869686081</v>
      </c>
      <c r="I119" s="542">
        <f t="shared" si="32"/>
        <v>188013.81869686081</v>
      </c>
      <c r="J119" s="478">
        <f t="shared" si="22"/>
        <v>0</v>
      </c>
      <c r="K119" s="478"/>
      <c r="L119" s="487"/>
      <c r="M119" s="478">
        <f t="shared" si="33"/>
        <v>0</v>
      </c>
      <c r="N119" s="487"/>
      <c r="O119" s="478">
        <f t="shared" si="23"/>
        <v>0</v>
      </c>
      <c r="P119" s="478">
        <f t="shared" si="24"/>
        <v>0</v>
      </c>
    </row>
    <row r="120" spans="2:16">
      <c r="B120" s="160" t="str">
        <f t="shared" si="21"/>
        <v/>
      </c>
      <c r="C120" s="472">
        <f>IF(D93="","-",+C119+1)</f>
        <v>2035</v>
      </c>
      <c r="D120" s="347">
        <f>IF(F119+SUM(E$99:E119)=D$92,F119,D$92-SUM(E$99:E119))</f>
        <v>1143307.2366666663</v>
      </c>
      <c r="E120" s="484">
        <f t="shared" si="28"/>
        <v>54796</v>
      </c>
      <c r="F120" s="485">
        <f t="shared" si="29"/>
        <v>1088511.2366666663</v>
      </c>
      <c r="G120" s="485">
        <f t="shared" si="30"/>
        <v>1115909.2366666663</v>
      </c>
      <c r="H120" s="486">
        <f t="shared" si="31"/>
        <v>181778.42880990874</v>
      </c>
      <c r="I120" s="542">
        <f t="shared" si="32"/>
        <v>181778.42880990874</v>
      </c>
      <c r="J120" s="478">
        <f t="shared" si="22"/>
        <v>0</v>
      </c>
      <c r="K120" s="478"/>
      <c r="L120" s="487"/>
      <c r="M120" s="478">
        <f t="shared" si="33"/>
        <v>0</v>
      </c>
      <c r="N120" s="487"/>
      <c r="O120" s="478">
        <f t="shared" si="23"/>
        <v>0</v>
      </c>
      <c r="P120" s="478">
        <f t="shared" si="24"/>
        <v>0</v>
      </c>
    </row>
    <row r="121" spans="2:16">
      <c r="B121" s="160" t="str">
        <f t="shared" si="21"/>
        <v/>
      </c>
      <c r="C121" s="472">
        <f>IF(D93="","-",+C120+1)</f>
        <v>2036</v>
      </c>
      <c r="D121" s="347">
        <f>IF(F120+SUM(E$99:E120)=D$92,F120,D$92-SUM(E$99:E120))</f>
        <v>1088511.2366666663</v>
      </c>
      <c r="E121" s="484">
        <f t="shared" si="28"/>
        <v>54796</v>
      </c>
      <c r="F121" s="485">
        <f t="shared" si="29"/>
        <v>1033715.2366666663</v>
      </c>
      <c r="G121" s="485">
        <f t="shared" si="30"/>
        <v>1061113.2366666663</v>
      </c>
      <c r="H121" s="486">
        <f t="shared" si="31"/>
        <v>175543.03892295662</v>
      </c>
      <c r="I121" s="542">
        <f t="shared" si="32"/>
        <v>175543.03892295662</v>
      </c>
      <c r="J121" s="478">
        <f t="shared" si="22"/>
        <v>0</v>
      </c>
      <c r="K121" s="478"/>
      <c r="L121" s="487"/>
      <c r="M121" s="478">
        <f t="shared" si="33"/>
        <v>0</v>
      </c>
      <c r="N121" s="487"/>
      <c r="O121" s="478">
        <f t="shared" si="23"/>
        <v>0</v>
      </c>
      <c r="P121" s="478">
        <f t="shared" si="24"/>
        <v>0</v>
      </c>
    </row>
    <row r="122" spans="2:16">
      <c r="B122" s="160" t="str">
        <f t="shared" si="21"/>
        <v/>
      </c>
      <c r="C122" s="472">
        <f>IF(D93="","-",+C121+1)</f>
        <v>2037</v>
      </c>
      <c r="D122" s="347">
        <f>IF(F121+SUM(E$99:E121)=D$92,F121,D$92-SUM(E$99:E121))</f>
        <v>1033715.2366666663</v>
      </c>
      <c r="E122" s="484">
        <f t="shared" si="28"/>
        <v>54796</v>
      </c>
      <c r="F122" s="485">
        <f t="shared" si="29"/>
        <v>978919.23666666634</v>
      </c>
      <c r="G122" s="485">
        <f t="shared" si="30"/>
        <v>1006317.2366666663</v>
      </c>
      <c r="H122" s="486">
        <f t="shared" si="31"/>
        <v>169307.64903600456</v>
      </c>
      <c r="I122" s="542">
        <f t="shared" si="32"/>
        <v>169307.64903600456</v>
      </c>
      <c r="J122" s="478">
        <f t="shared" si="22"/>
        <v>0</v>
      </c>
      <c r="K122" s="478"/>
      <c r="L122" s="487"/>
      <c r="M122" s="478">
        <f t="shared" si="33"/>
        <v>0</v>
      </c>
      <c r="N122" s="487"/>
      <c r="O122" s="478">
        <f t="shared" si="23"/>
        <v>0</v>
      </c>
      <c r="P122" s="478">
        <f t="shared" si="24"/>
        <v>0</v>
      </c>
    </row>
    <row r="123" spans="2:16">
      <c r="B123" s="160" t="str">
        <f t="shared" si="21"/>
        <v/>
      </c>
      <c r="C123" s="472">
        <f>IF(D93="","-",+C122+1)</f>
        <v>2038</v>
      </c>
      <c r="D123" s="347">
        <f>IF(F122+SUM(E$99:E122)=D$92,F122,D$92-SUM(E$99:E122))</f>
        <v>978919.23666666634</v>
      </c>
      <c r="E123" s="484">
        <f t="shared" si="28"/>
        <v>54796</v>
      </c>
      <c r="F123" s="485">
        <f t="shared" si="29"/>
        <v>924123.23666666634</v>
      </c>
      <c r="G123" s="485">
        <f t="shared" si="30"/>
        <v>951521.23666666634</v>
      </c>
      <c r="H123" s="486">
        <f t="shared" si="31"/>
        <v>163072.25914905244</v>
      </c>
      <c r="I123" s="542">
        <f t="shared" si="32"/>
        <v>163072.25914905244</v>
      </c>
      <c r="J123" s="478">
        <f t="shared" si="22"/>
        <v>0</v>
      </c>
      <c r="K123" s="478"/>
      <c r="L123" s="487"/>
      <c r="M123" s="478">
        <f t="shared" si="33"/>
        <v>0</v>
      </c>
      <c r="N123" s="487"/>
      <c r="O123" s="478">
        <f t="shared" si="23"/>
        <v>0</v>
      </c>
      <c r="P123" s="478">
        <f t="shared" si="24"/>
        <v>0</v>
      </c>
    </row>
    <row r="124" spans="2:16">
      <c r="B124" s="160" t="str">
        <f t="shared" si="21"/>
        <v/>
      </c>
      <c r="C124" s="472">
        <f>IF(D93="","-",+C123+1)</f>
        <v>2039</v>
      </c>
      <c r="D124" s="347">
        <f>IF(F123+SUM(E$99:E123)=D$92,F123,D$92-SUM(E$99:E123))</f>
        <v>924123.23666666634</v>
      </c>
      <c r="E124" s="484">
        <f t="shared" si="28"/>
        <v>54796</v>
      </c>
      <c r="F124" s="485">
        <f t="shared" si="29"/>
        <v>869327.23666666634</v>
      </c>
      <c r="G124" s="485">
        <f t="shared" si="30"/>
        <v>896725.23666666634</v>
      </c>
      <c r="H124" s="486">
        <f t="shared" si="31"/>
        <v>156836.86926210037</v>
      </c>
      <c r="I124" s="542">
        <f t="shared" si="32"/>
        <v>156836.86926210037</v>
      </c>
      <c r="J124" s="478">
        <f t="shared" si="22"/>
        <v>0</v>
      </c>
      <c r="K124" s="478"/>
      <c r="L124" s="487"/>
      <c r="M124" s="478">
        <f t="shared" si="33"/>
        <v>0</v>
      </c>
      <c r="N124" s="487"/>
      <c r="O124" s="478">
        <f t="shared" si="23"/>
        <v>0</v>
      </c>
      <c r="P124" s="478">
        <f t="shared" si="24"/>
        <v>0</v>
      </c>
    </row>
    <row r="125" spans="2:16">
      <c r="B125" s="160" t="str">
        <f t="shared" si="21"/>
        <v/>
      </c>
      <c r="C125" s="472">
        <f>IF(D93="","-",+C124+1)</f>
        <v>2040</v>
      </c>
      <c r="D125" s="347">
        <f>IF(F124+SUM(E$99:E124)=D$92,F124,D$92-SUM(E$99:E124))</f>
        <v>869327.23666666634</v>
      </c>
      <c r="E125" s="484">
        <f t="shared" si="28"/>
        <v>54796</v>
      </c>
      <c r="F125" s="485">
        <f t="shared" si="29"/>
        <v>814531.23666666634</v>
      </c>
      <c r="G125" s="485">
        <f t="shared" si="30"/>
        <v>841929.23666666634</v>
      </c>
      <c r="H125" s="486">
        <f t="shared" si="31"/>
        <v>150601.47937514828</v>
      </c>
      <c r="I125" s="542">
        <f t="shared" si="32"/>
        <v>150601.47937514828</v>
      </c>
      <c r="J125" s="478">
        <f t="shared" si="22"/>
        <v>0</v>
      </c>
      <c r="K125" s="478"/>
      <c r="L125" s="487"/>
      <c r="M125" s="478">
        <f t="shared" si="33"/>
        <v>0</v>
      </c>
      <c r="N125" s="487"/>
      <c r="O125" s="478">
        <f t="shared" si="23"/>
        <v>0</v>
      </c>
      <c r="P125" s="478">
        <f t="shared" si="24"/>
        <v>0</v>
      </c>
    </row>
    <row r="126" spans="2:16">
      <c r="B126" s="160" t="str">
        <f t="shared" si="21"/>
        <v/>
      </c>
      <c r="C126" s="472">
        <f>IF(D93="","-",+C125+1)</f>
        <v>2041</v>
      </c>
      <c r="D126" s="347">
        <f>IF(F125+SUM(E$99:E125)=D$92,F125,D$92-SUM(E$99:E125))</f>
        <v>814531.23666666634</v>
      </c>
      <c r="E126" s="484">
        <f t="shared" si="28"/>
        <v>54796</v>
      </c>
      <c r="F126" s="485">
        <f t="shared" si="29"/>
        <v>759735.23666666634</v>
      </c>
      <c r="G126" s="485">
        <f t="shared" si="30"/>
        <v>787133.23666666634</v>
      </c>
      <c r="H126" s="486">
        <f t="shared" si="31"/>
        <v>144366.08948819619</v>
      </c>
      <c r="I126" s="542">
        <f t="shared" si="32"/>
        <v>144366.08948819619</v>
      </c>
      <c r="J126" s="478">
        <f t="shared" si="22"/>
        <v>0</v>
      </c>
      <c r="K126" s="478"/>
      <c r="L126" s="487"/>
      <c r="M126" s="478">
        <f t="shared" si="33"/>
        <v>0</v>
      </c>
      <c r="N126" s="487"/>
      <c r="O126" s="478">
        <f t="shared" si="23"/>
        <v>0</v>
      </c>
      <c r="P126" s="478">
        <f t="shared" si="24"/>
        <v>0</v>
      </c>
    </row>
    <row r="127" spans="2:16">
      <c r="B127" s="160" t="str">
        <f t="shared" si="21"/>
        <v/>
      </c>
      <c r="C127" s="472">
        <f>IF(D93="","-",+C126+1)</f>
        <v>2042</v>
      </c>
      <c r="D127" s="347">
        <f>IF(F126+SUM(E$99:E126)=D$92,F126,D$92-SUM(E$99:E126))</f>
        <v>759735.23666666634</v>
      </c>
      <c r="E127" s="484">
        <f t="shared" si="28"/>
        <v>54796</v>
      </c>
      <c r="F127" s="485">
        <f t="shared" si="29"/>
        <v>704939.23666666634</v>
      </c>
      <c r="G127" s="485">
        <f t="shared" si="30"/>
        <v>732337.23666666634</v>
      </c>
      <c r="H127" s="486">
        <f t="shared" si="31"/>
        <v>138130.69960124409</v>
      </c>
      <c r="I127" s="542">
        <f t="shared" si="32"/>
        <v>138130.69960124409</v>
      </c>
      <c r="J127" s="478">
        <f t="shared" si="22"/>
        <v>0</v>
      </c>
      <c r="K127" s="478"/>
      <c r="L127" s="487"/>
      <c r="M127" s="478">
        <f t="shared" si="33"/>
        <v>0</v>
      </c>
      <c r="N127" s="487"/>
      <c r="O127" s="478">
        <f t="shared" si="23"/>
        <v>0</v>
      </c>
      <c r="P127" s="478">
        <f t="shared" si="24"/>
        <v>0</v>
      </c>
    </row>
    <row r="128" spans="2:16">
      <c r="B128" s="160" t="str">
        <f t="shared" si="21"/>
        <v/>
      </c>
      <c r="C128" s="472">
        <f>IF(D93="","-",+C127+1)</f>
        <v>2043</v>
      </c>
      <c r="D128" s="347">
        <f>IF(F127+SUM(E$99:E127)=D$92,F127,D$92-SUM(E$99:E127))</f>
        <v>704939.23666666634</v>
      </c>
      <c r="E128" s="484">
        <f t="shared" si="28"/>
        <v>54796</v>
      </c>
      <c r="F128" s="485">
        <f t="shared" si="29"/>
        <v>650143.23666666634</v>
      </c>
      <c r="G128" s="485">
        <f t="shared" si="30"/>
        <v>677541.23666666634</v>
      </c>
      <c r="H128" s="486">
        <f t="shared" si="31"/>
        <v>131895.309714292</v>
      </c>
      <c r="I128" s="542">
        <f t="shared" si="32"/>
        <v>131895.309714292</v>
      </c>
      <c r="J128" s="478">
        <f t="shared" si="22"/>
        <v>0</v>
      </c>
      <c r="K128" s="478"/>
      <c r="L128" s="487"/>
      <c r="M128" s="478">
        <f t="shared" si="33"/>
        <v>0</v>
      </c>
      <c r="N128" s="487"/>
      <c r="O128" s="478">
        <f t="shared" si="23"/>
        <v>0</v>
      </c>
      <c r="P128" s="478">
        <f t="shared" si="24"/>
        <v>0</v>
      </c>
    </row>
    <row r="129" spans="2:16">
      <c r="B129" s="160" t="str">
        <f t="shared" si="21"/>
        <v/>
      </c>
      <c r="C129" s="472">
        <f>IF(D93="","-",+C128+1)</f>
        <v>2044</v>
      </c>
      <c r="D129" s="347">
        <f>IF(F128+SUM(E$99:E128)=D$92,F128,D$92-SUM(E$99:E128))</f>
        <v>650143.23666666634</v>
      </c>
      <c r="E129" s="484">
        <f t="shared" si="28"/>
        <v>54796</v>
      </c>
      <c r="F129" s="485">
        <f t="shared" si="29"/>
        <v>595347.23666666634</v>
      </c>
      <c r="G129" s="485">
        <f t="shared" si="30"/>
        <v>622745.23666666634</v>
      </c>
      <c r="H129" s="486">
        <f t="shared" si="31"/>
        <v>125659.91982733991</v>
      </c>
      <c r="I129" s="542">
        <f t="shared" si="32"/>
        <v>125659.91982733991</v>
      </c>
      <c r="J129" s="478">
        <f t="shared" si="22"/>
        <v>0</v>
      </c>
      <c r="K129" s="478"/>
      <c r="L129" s="487"/>
      <c r="M129" s="478">
        <f t="shared" si="33"/>
        <v>0</v>
      </c>
      <c r="N129" s="487"/>
      <c r="O129" s="478">
        <f t="shared" si="23"/>
        <v>0</v>
      </c>
      <c r="P129" s="478">
        <f t="shared" si="24"/>
        <v>0</v>
      </c>
    </row>
    <row r="130" spans="2:16">
      <c r="B130" s="160" t="str">
        <f t="shared" si="21"/>
        <v/>
      </c>
      <c r="C130" s="472">
        <f>IF(D93="","-",+C129+1)</f>
        <v>2045</v>
      </c>
      <c r="D130" s="347">
        <f>IF(F129+SUM(E$99:E129)=D$92,F129,D$92-SUM(E$99:E129))</f>
        <v>595347.23666666634</v>
      </c>
      <c r="E130" s="484">
        <f t="shared" si="28"/>
        <v>54796</v>
      </c>
      <c r="F130" s="485">
        <f t="shared" si="29"/>
        <v>540551.23666666634</v>
      </c>
      <c r="G130" s="485">
        <f t="shared" si="30"/>
        <v>567949.23666666634</v>
      </c>
      <c r="H130" s="486">
        <f t="shared" si="31"/>
        <v>119424.52994038782</v>
      </c>
      <c r="I130" s="542">
        <f t="shared" si="32"/>
        <v>119424.52994038782</v>
      </c>
      <c r="J130" s="478">
        <f t="shared" si="22"/>
        <v>0</v>
      </c>
      <c r="K130" s="478"/>
      <c r="L130" s="487"/>
      <c r="M130" s="478">
        <f t="shared" si="33"/>
        <v>0</v>
      </c>
      <c r="N130" s="487"/>
      <c r="O130" s="478">
        <f t="shared" si="23"/>
        <v>0</v>
      </c>
      <c r="P130" s="478">
        <f t="shared" si="24"/>
        <v>0</v>
      </c>
    </row>
    <row r="131" spans="2:16">
      <c r="B131" s="160" t="str">
        <f t="shared" si="21"/>
        <v/>
      </c>
      <c r="C131" s="472">
        <f>IF(D93="","-",+C130+1)</f>
        <v>2046</v>
      </c>
      <c r="D131" s="347">
        <f>IF(F130+SUM(E$99:E130)=D$92,F130,D$92-SUM(E$99:E130))</f>
        <v>540551.23666666634</v>
      </c>
      <c r="E131" s="484">
        <f t="shared" si="28"/>
        <v>54796</v>
      </c>
      <c r="F131" s="485">
        <f t="shared" si="29"/>
        <v>485755.23666666634</v>
      </c>
      <c r="G131" s="485">
        <f t="shared" si="30"/>
        <v>513153.23666666634</v>
      </c>
      <c r="H131" s="486">
        <f t="shared" si="31"/>
        <v>113189.14005343572</v>
      </c>
      <c r="I131" s="542">
        <f t="shared" si="32"/>
        <v>113189.14005343572</v>
      </c>
      <c r="J131" s="478">
        <f t="shared" si="22"/>
        <v>0</v>
      </c>
      <c r="K131" s="478"/>
      <c r="L131" s="487"/>
      <c r="M131" s="478">
        <f t="shared" ref="M131:M154" si="34">IF(L541&lt;&gt;0,+H541-L541,0)</f>
        <v>0</v>
      </c>
      <c r="N131" s="487"/>
      <c r="O131" s="478">
        <f t="shared" ref="O131:O154" si="35">IF(N541&lt;&gt;0,+I541-N541,0)</f>
        <v>0</v>
      </c>
      <c r="P131" s="478">
        <f t="shared" ref="P131:P154" si="36">+O541-M541</f>
        <v>0</v>
      </c>
    </row>
    <row r="132" spans="2:16">
      <c r="B132" s="160" t="str">
        <f t="shared" si="21"/>
        <v/>
      </c>
      <c r="C132" s="472">
        <f>IF(D93="","-",+C131+1)</f>
        <v>2047</v>
      </c>
      <c r="D132" s="347">
        <f>IF(F131+SUM(E$99:E131)=D$92,F131,D$92-SUM(E$99:E131))</f>
        <v>485755.23666666634</v>
      </c>
      <c r="E132" s="484">
        <f t="shared" si="28"/>
        <v>54796</v>
      </c>
      <c r="F132" s="485">
        <f t="shared" si="29"/>
        <v>430959.23666666634</v>
      </c>
      <c r="G132" s="485">
        <f t="shared" si="30"/>
        <v>458357.23666666634</v>
      </c>
      <c r="H132" s="486">
        <f t="shared" si="31"/>
        <v>106953.75016648363</v>
      </c>
      <c r="I132" s="542">
        <f t="shared" si="32"/>
        <v>106953.75016648363</v>
      </c>
      <c r="J132" s="478">
        <f t="shared" si="22"/>
        <v>0</v>
      </c>
      <c r="K132" s="478"/>
      <c r="L132" s="487"/>
      <c r="M132" s="478">
        <f t="shared" si="34"/>
        <v>0</v>
      </c>
      <c r="N132" s="487"/>
      <c r="O132" s="478">
        <f t="shared" si="35"/>
        <v>0</v>
      </c>
      <c r="P132" s="478">
        <f t="shared" si="36"/>
        <v>0</v>
      </c>
    </row>
    <row r="133" spans="2:16">
      <c r="B133" s="160" t="str">
        <f t="shared" si="21"/>
        <v/>
      </c>
      <c r="C133" s="472">
        <f>IF(D93="","-",+C132+1)</f>
        <v>2048</v>
      </c>
      <c r="D133" s="347">
        <f>IF(F132+SUM(E$99:E132)=D$92,F132,D$92-SUM(E$99:E132))</f>
        <v>430959.23666666634</v>
      </c>
      <c r="E133" s="484">
        <f t="shared" si="28"/>
        <v>54796</v>
      </c>
      <c r="F133" s="485">
        <f t="shared" si="29"/>
        <v>376163.23666666634</v>
      </c>
      <c r="G133" s="485">
        <f t="shared" si="30"/>
        <v>403561.23666666634</v>
      </c>
      <c r="H133" s="486">
        <f t="shared" si="31"/>
        <v>100718.36027953154</v>
      </c>
      <c r="I133" s="542">
        <f t="shared" si="32"/>
        <v>100718.36027953154</v>
      </c>
      <c r="J133" s="478">
        <f t="shared" si="22"/>
        <v>0</v>
      </c>
      <c r="K133" s="478"/>
      <c r="L133" s="487"/>
      <c r="M133" s="478">
        <f t="shared" si="34"/>
        <v>0</v>
      </c>
      <c r="N133" s="487"/>
      <c r="O133" s="478">
        <f t="shared" si="35"/>
        <v>0</v>
      </c>
      <c r="P133" s="478">
        <f t="shared" si="36"/>
        <v>0</v>
      </c>
    </row>
    <row r="134" spans="2:16">
      <c r="B134" s="160" t="str">
        <f t="shared" si="21"/>
        <v/>
      </c>
      <c r="C134" s="472">
        <f>IF(D93="","-",+C133+1)</f>
        <v>2049</v>
      </c>
      <c r="D134" s="347">
        <f>IF(F133+SUM(E$99:E133)=D$92,F133,D$92-SUM(E$99:E133))</f>
        <v>376163.23666666634</v>
      </c>
      <c r="E134" s="484">
        <f t="shared" si="28"/>
        <v>54796</v>
      </c>
      <c r="F134" s="485">
        <f t="shared" si="29"/>
        <v>321367.23666666634</v>
      </c>
      <c r="G134" s="485">
        <f t="shared" si="30"/>
        <v>348765.23666666634</v>
      </c>
      <c r="H134" s="486">
        <f t="shared" si="31"/>
        <v>94482.970392579446</v>
      </c>
      <c r="I134" s="542">
        <f t="shared" si="32"/>
        <v>94482.970392579446</v>
      </c>
      <c r="J134" s="478">
        <f t="shared" si="22"/>
        <v>0</v>
      </c>
      <c r="K134" s="478"/>
      <c r="L134" s="487"/>
      <c r="M134" s="478">
        <f t="shared" si="34"/>
        <v>0</v>
      </c>
      <c r="N134" s="487"/>
      <c r="O134" s="478">
        <f t="shared" si="35"/>
        <v>0</v>
      </c>
      <c r="P134" s="478">
        <f t="shared" si="36"/>
        <v>0</v>
      </c>
    </row>
    <row r="135" spans="2:16">
      <c r="B135" s="160" t="str">
        <f t="shared" si="21"/>
        <v/>
      </c>
      <c r="C135" s="472">
        <f>IF(D93="","-",+C134+1)</f>
        <v>2050</v>
      </c>
      <c r="D135" s="347">
        <f>IF(F134+SUM(E$99:E134)=D$92,F134,D$92-SUM(E$99:E134))</f>
        <v>321367.23666666634</v>
      </c>
      <c r="E135" s="484">
        <f t="shared" si="28"/>
        <v>54796</v>
      </c>
      <c r="F135" s="485">
        <f t="shared" si="29"/>
        <v>266571.23666666634</v>
      </c>
      <c r="G135" s="485">
        <f t="shared" si="30"/>
        <v>293969.23666666634</v>
      </c>
      <c r="H135" s="486">
        <f t="shared" si="31"/>
        <v>88247.580505627368</v>
      </c>
      <c r="I135" s="542">
        <f t="shared" si="32"/>
        <v>88247.580505627368</v>
      </c>
      <c r="J135" s="478">
        <f t="shared" si="22"/>
        <v>0</v>
      </c>
      <c r="K135" s="478"/>
      <c r="L135" s="487"/>
      <c r="M135" s="478">
        <f t="shared" si="34"/>
        <v>0</v>
      </c>
      <c r="N135" s="487"/>
      <c r="O135" s="478">
        <f t="shared" si="35"/>
        <v>0</v>
      </c>
      <c r="P135" s="478">
        <f t="shared" si="36"/>
        <v>0</v>
      </c>
    </row>
    <row r="136" spans="2:16">
      <c r="B136" s="160" t="str">
        <f t="shared" si="21"/>
        <v/>
      </c>
      <c r="C136" s="472">
        <f>IF(D93="","-",+C135+1)</f>
        <v>2051</v>
      </c>
      <c r="D136" s="347">
        <f>IF(F135+SUM(E$99:E135)=D$92,F135,D$92-SUM(E$99:E135))</f>
        <v>266571.23666666634</v>
      </c>
      <c r="E136" s="484">
        <f t="shared" si="28"/>
        <v>54796</v>
      </c>
      <c r="F136" s="485">
        <f t="shared" si="29"/>
        <v>211775.23666666634</v>
      </c>
      <c r="G136" s="485">
        <f t="shared" si="30"/>
        <v>239173.23666666634</v>
      </c>
      <c r="H136" s="486">
        <f t="shared" si="31"/>
        <v>82012.190618675275</v>
      </c>
      <c r="I136" s="542">
        <f t="shared" si="32"/>
        <v>82012.190618675275</v>
      </c>
      <c r="J136" s="478">
        <f t="shared" si="22"/>
        <v>0</v>
      </c>
      <c r="K136" s="478"/>
      <c r="L136" s="487"/>
      <c r="M136" s="478">
        <f t="shared" si="34"/>
        <v>0</v>
      </c>
      <c r="N136" s="487"/>
      <c r="O136" s="478">
        <f t="shared" si="35"/>
        <v>0</v>
      </c>
      <c r="P136" s="478">
        <f t="shared" si="36"/>
        <v>0</v>
      </c>
    </row>
    <row r="137" spans="2:16">
      <c r="B137" s="160" t="str">
        <f t="shared" si="21"/>
        <v/>
      </c>
      <c r="C137" s="472">
        <f>IF(D93="","-",+C136+1)</f>
        <v>2052</v>
      </c>
      <c r="D137" s="347">
        <f>IF(F136+SUM(E$99:E136)=D$92,F136,D$92-SUM(E$99:E136))</f>
        <v>211775.23666666634</v>
      </c>
      <c r="E137" s="484">
        <f t="shared" si="28"/>
        <v>54796</v>
      </c>
      <c r="F137" s="485">
        <f t="shared" si="29"/>
        <v>156979.23666666634</v>
      </c>
      <c r="G137" s="485">
        <f t="shared" si="30"/>
        <v>184377.23666666634</v>
      </c>
      <c r="H137" s="486">
        <f t="shared" si="31"/>
        <v>75776.800731723182</v>
      </c>
      <c r="I137" s="542">
        <f t="shared" si="32"/>
        <v>75776.800731723182</v>
      </c>
      <c r="J137" s="478">
        <f t="shared" si="22"/>
        <v>0</v>
      </c>
      <c r="K137" s="478"/>
      <c r="L137" s="487"/>
      <c r="M137" s="478">
        <f t="shared" si="34"/>
        <v>0</v>
      </c>
      <c r="N137" s="487"/>
      <c r="O137" s="478">
        <f t="shared" si="35"/>
        <v>0</v>
      </c>
      <c r="P137" s="478">
        <f t="shared" si="36"/>
        <v>0</v>
      </c>
    </row>
    <row r="138" spans="2:16">
      <c r="B138" s="160" t="str">
        <f t="shared" si="21"/>
        <v/>
      </c>
      <c r="C138" s="472">
        <f>IF(D93="","-",+C137+1)</f>
        <v>2053</v>
      </c>
      <c r="D138" s="347">
        <f>IF(F137+SUM(E$99:E137)=D$92,F137,D$92-SUM(E$99:E137))</f>
        <v>156979.23666666634</v>
      </c>
      <c r="E138" s="484">
        <f t="shared" si="28"/>
        <v>54796</v>
      </c>
      <c r="F138" s="485">
        <f t="shared" si="29"/>
        <v>102183.23666666634</v>
      </c>
      <c r="G138" s="485">
        <f t="shared" si="30"/>
        <v>129581.23666666634</v>
      </c>
      <c r="H138" s="486">
        <f t="shared" si="31"/>
        <v>69541.41084477109</v>
      </c>
      <c r="I138" s="542">
        <f t="shared" si="32"/>
        <v>69541.41084477109</v>
      </c>
      <c r="J138" s="478">
        <f t="shared" si="22"/>
        <v>0</v>
      </c>
      <c r="K138" s="478"/>
      <c r="L138" s="487"/>
      <c r="M138" s="478">
        <f t="shared" si="34"/>
        <v>0</v>
      </c>
      <c r="N138" s="487"/>
      <c r="O138" s="478">
        <f t="shared" si="35"/>
        <v>0</v>
      </c>
      <c r="P138" s="478">
        <f t="shared" si="36"/>
        <v>0</v>
      </c>
    </row>
    <row r="139" spans="2:16">
      <c r="B139" s="160" t="str">
        <f t="shared" si="21"/>
        <v/>
      </c>
      <c r="C139" s="472">
        <f>IF(D93="","-",+C138+1)</f>
        <v>2054</v>
      </c>
      <c r="D139" s="347">
        <f>IF(F138+SUM(E$99:E138)=D$92,F138,D$92-SUM(E$99:E138))</f>
        <v>102183.23666666634</v>
      </c>
      <c r="E139" s="484">
        <f t="shared" si="28"/>
        <v>54796</v>
      </c>
      <c r="F139" s="485">
        <f t="shared" si="29"/>
        <v>47387.236666666344</v>
      </c>
      <c r="G139" s="485">
        <f t="shared" si="30"/>
        <v>74785.236666666344</v>
      </c>
      <c r="H139" s="486">
        <f t="shared" si="31"/>
        <v>63306.020957818997</v>
      </c>
      <c r="I139" s="542">
        <f t="shared" si="32"/>
        <v>63306.020957818997</v>
      </c>
      <c r="J139" s="478">
        <f t="shared" si="22"/>
        <v>0</v>
      </c>
      <c r="K139" s="478"/>
      <c r="L139" s="487"/>
      <c r="M139" s="478">
        <f t="shared" si="34"/>
        <v>0</v>
      </c>
      <c r="N139" s="487"/>
      <c r="O139" s="478">
        <f t="shared" si="35"/>
        <v>0</v>
      </c>
      <c r="P139" s="478">
        <f t="shared" si="36"/>
        <v>0</v>
      </c>
    </row>
    <row r="140" spans="2:16">
      <c r="B140" s="160" t="str">
        <f t="shared" si="21"/>
        <v/>
      </c>
      <c r="C140" s="472">
        <f>IF(D93="","-",+C139+1)</f>
        <v>2055</v>
      </c>
      <c r="D140" s="347">
        <f>IF(F139+SUM(E$99:E139)=D$92,F139,D$92-SUM(E$99:E139))</f>
        <v>47387.236666666344</v>
      </c>
      <c r="E140" s="484">
        <f t="shared" si="28"/>
        <v>47387.236666666344</v>
      </c>
      <c r="F140" s="485">
        <f t="shared" si="29"/>
        <v>0</v>
      </c>
      <c r="G140" s="485">
        <f t="shared" si="30"/>
        <v>23693.618333333172</v>
      </c>
      <c r="H140" s="486">
        <f t="shared" si="31"/>
        <v>50083.399673837819</v>
      </c>
      <c r="I140" s="542">
        <f t="shared" si="32"/>
        <v>50083.399673837819</v>
      </c>
      <c r="J140" s="478">
        <f t="shared" si="22"/>
        <v>0</v>
      </c>
      <c r="K140" s="478"/>
      <c r="L140" s="487"/>
      <c r="M140" s="478">
        <f t="shared" si="34"/>
        <v>0</v>
      </c>
      <c r="N140" s="487"/>
      <c r="O140" s="478">
        <f t="shared" si="35"/>
        <v>0</v>
      </c>
      <c r="P140" s="478">
        <f t="shared" si="36"/>
        <v>0</v>
      </c>
    </row>
    <row r="141" spans="2:16">
      <c r="B141" s="160" t="str">
        <f t="shared" si="21"/>
        <v/>
      </c>
      <c r="C141" s="472">
        <f>IF(D93="","-",+C140+1)</f>
        <v>2056</v>
      </c>
      <c r="D141" s="347">
        <f>IF(F140+SUM(E$99:E140)=D$92,F140,D$92-SUM(E$99:E140))</f>
        <v>0</v>
      </c>
      <c r="E141" s="484">
        <f t="shared" si="28"/>
        <v>0</v>
      </c>
      <c r="F141" s="485">
        <f t="shared" si="29"/>
        <v>0</v>
      </c>
      <c r="G141" s="485">
        <f t="shared" si="30"/>
        <v>0</v>
      </c>
      <c r="H141" s="486">
        <f t="shared" si="31"/>
        <v>0</v>
      </c>
      <c r="I141" s="542">
        <f t="shared" si="32"/>
        <v>0</v>
      </c>
      <c r="J141" s="478">
        <f t="shared" si="22"/>
        <v>0</v>
      </c>
      <c r="K141" s="478"/>
      <c r="L141" s="487"/>
      <c r="M141" s="478">
        <f t="shared" si="34"/>
        <v>0</v>
      </c>
      <c r="N141" s="487"/>
      <c r="O141" s="478">
        <f t="shared" si="35"/>
        <v>0</v>
      </c>
      <c r="P141" s="478">
        <f t="shared" si="36"/>
        <v>0</v>
      </c>
    </row>
    <row r="142" spans="2:16">
      <c r="B142" s="160" t="str">
        <f t="shared" si="21"/>
        <v/>
      </c>
      <c r="C142" s="472">
        <f>IF(D93="","-",+C141+1)</f>
        <v>2057</v>
      </c>
      <c r="D142" s="347">
        <f>IF(F141+SUM(E$99:E141)=D$92,F141,D$92-SUM(E$99:E141))</f>
        <v>0</v>
      </c>
      <c r="E142" s="484">
        <f t="shared" si="28"/>
        <v>0</v>
      </c>
      <c r="F142" s="485">
        <f t="shared" si="29"/>
        <v>0</v>
      </c>
      <c r="G142" s="485">
        <f t="shared" si="30"/>
        <v>0</v>
      </c>
      <c r="H142" s="486">
        <f t="shared" si="31"/>
        <v>0</v>
      </c>
      <c r="I142" s="542">
        <f t="shared" si="32"/>
        <v>0</v>
      </c>
      <c r="J142" s="478">
        <f t="shared" si="22"/>
        <v>0</v>
      </c>
      <c r="K142" s="478"/>
      <c r="L142" s="487"/>
      <c r="M142" s="478">
        <f t="shared" si="34"/>
        <v>0</v>
      </c>
      <c r="N142" s="487"/>
      <c r="O142" s="478">
        <f t="shared" si="35"/>
        <v>0</v>
      </c>
      <c r="P142" s="478">
        <f t="shared" si="36"/>
        <v>0</v>
      </c>
    </row>
    <row r="143" spans="2:16">
      <c r="B143" s="160" t="str">
        <f t="shared" si="21"/>
        <v/>
      </c>
      <c r="C143" s="472">
        <f>IF(D93="","-",+C142+1)</f>
        <v>2058</v>
      </c>
      <c r="D143" s="347">
        <f>IF(F142+SUM(E$99:E142)=D$92,F142,D$92-SUM(E$99:E142))</f>
        <v>0</v>
      </c>
      <c r="E143" s="484">
        <f t="shared" si="28"/>
        <v>0</v>
      </c>
      <c r="F143" s="485">
        <f t="shared" si="29"/>
        <v>0</v>
      </c>
      <c r="G143" s="485">
        <f t="shared" si="30"/>
        <v>0</v>
      </c>
      <c r="H143" s="486">
        <f t="shared" si="31"/>
        <v>0</v>
      </c>
      <c r="I143" s="542">
        <f t="shared" si="32"/>
        <v>0</v>
      </c>
      <c r="J143" s="478">
        <f t="shared" si="22"/>
        <v>0</v>
      </c>
      <c r="K143" s="478"/>
      <c r="L143" s="487"/>
      <c r="M143" s="478">
        <f t="shared" si="34"/>
        <v>0</v>
      </c>
      <c r="N143" s="487"/>
      <c r="O143" s="478">
        <f t="shared" si="35"/>
        <v>0</v>
      </c>
      <c r="P143" s="478">
        <f t="shared" si="36"/>
        <v>0</v>
      </c>
    </row>
    <row r="144" spans="2:16">
      <c r="B144" s="160" t="str">
        <f t="shared" si="21"/>
        <v/>
      </c>
      <c r="C144" s="472">
        <f>IF(D93="","-",+C143+1)</f>
        <v>2059</v>
      </c>
      <c r="D144" s="347">
        <f>IF(F143+SUM(E$99:E143)=D$92,F143,D$92-SUM(E$99:E143))</f>
        <v>0</v>
      </c>
      <c r="E144" s="484">
        <f t="shared" si="28"/>
        <v>0</v>
      </c>
      <c r="F144" s="485">
        <f t="shared" si="29"/>
        <v>0</v>
      </c>
      <c r="G144" s="485">
        <f t="shared" si="30"/>
        <v>0</v>
      </c>
      <c r="H144" s="486">
        <f t="shared" si="31"/>
        <v>0</v>
      </c>
      <c r="I144" s="542">
        <f t="shared" si="32"/>
        <v>0</v>
      </c>
      <c r="J144" s="478">
        <f t="shared" si="22"/>
        <v>0</v>
      </c>
      <c r="K144" s="478"/>
      <c r="L144" s="487"/>
      <c r="M144" s="478">
        <f t="shared" si="34"/>
        <v>0</v>
      </c>
      <c r="N144" s="487"/>
      <c r="O144" s="478">
        <f t="shared" si="35"/>
        <v>0</v>
      </c>
      <c r="P144" s="478">
        <f t="shared" si="36"/>
        <v>0</v>
      </c>
    </row>
    <row r="145" spans="2:16">
      <c r="B145" s="160" t="str">
        <f t="shared" si="21"/>
        <v/>
      </c>
      <c r="C145" s="472">
        <f>IF(D93="","-",+C144+1)</f>
        <v>2060</v>
      </c>
      <c r="D145" s="347">
        <f>IF(F144+SUM(E$99:E144)=D$92,F144,D$92-SUM(E$99:E144))</f>
        <v>0</v>
      </c>
      <c r="E145" s="484">
        <f t="shared" si="28"/>
        <v>0</v>
      </c>
      <c r="F145" s="485">
        <f t="shared" si="29"/>
        <v>0</v>
      </c>
      <c r="G145" s="485">
        <f t="shared" si="30"/>
        <v>0</v>
      </c>
      <c r="H145" s="486">
        <f t="shared" si="31"/>
        <v>0</v>
      </c>
      <c r="I145" s="542">
        <f t="shared" si="32"/>
        <v>0</v>
      </c>
      <c r="J145" s="478">
        <f t="shared" si="22"/>
        <v>0</v>
      </c>
      <c r="K145" s="478"/>
      <c r="L145" s="487"/>
      <c r="M145" s="478">
        <f t="shared" si="34"/>
        <v>0</v>
      </c>
      <c r="N145" s="487"/>
      <c r="O145" s="478">
        <f t="shared" si="35"/>
        <v>0</v>
      </c>
      <c r="P145" s="478">
        <f t="shared" si="36"/>
        <v>0</v>
      </c>
    </row>
    <row r="146" spans="2:16">
      <c r="B146" s="160" t="str">
        <f t="shared" si="21"/>
        <v/>
      </c>
      <c r="C146" s="472">
        <f>IF(D93="","-",+C145+1)</f>
        <v>2061</v>
      </c>
      <c r="D146" s="347">
        <f>IF(F145+SUM(E$99:E145)=D$92,F145,D$92-SUM(E$99:E145))</f>
        <v>0</v>
      </c>
      <c r="E146" s="484">
        <f t="shared" si="28"/>
        <v>0</v>
      </c>
      <c r="F146" s="485">
        <f t="shared" si="29"/>
        <v>0</v>
      </c>
      <c r="G146" s="485">
        <f t="shared" si="30"/>
        <v>0</v>
      </c>
      <c r="H146" s="486">
        <f t="shared" si="31"/>
        <v>0</v>
      </c>
      <c r="I146" s="542">
        <f t="shared" si="32"/>
        <v>0</v>
      </c>
      <c r="J146" s="478">
        <f t="shared" si="22"/>
        <v>0</v>
      </c>
      <c r="K146" s="478"/>
      <c r="L146" s="487"/>
      <c r="M146" s="478">
        <f t="shared" si="34"/>
        <v>0</v>
      </c>
      <c r="N146" s="487"/>
      <c r="O146" s="478">
        <f t="shared" si="35"/>
        <v>0</v>
      </c>
      <c r="P146" s="478">
        <f t="shared" si="36"/>
        <v>0</v>
      </c>
    </row>
    <row r="147" spans="2:16">
      <c r="B147" s="160" t="str">
        <f t="shared" si="21"/>
        <v/>
      </c>
      <c r="C147" s="472">
        <f>IF(D93="","-",+C146+1)</f>
        <v>2062</v>
      </c>
      <c r="D147" s="347">
        <f>IF(F146+SUM(E$99:E146)=D$92,F146,D$92-SUM(E$99:E146))</f>
        <v>0</v>
      </c>
      <c r="E147" s="484">
        <f t="shared" si="28"/>
        <v>0</v>
      </c>
      <c r="F147" s="485">
        <f t="shared" si="29"/>
        <v>0</v>
      </c>
      <c r="G147" s="485">
        <f t="shared" si="30"/>
        <v>0</v>
      </c>
      <c r="H147" s="486">
        <f t="shared" si="31"/>
        <v>0</v>
      </c>
      <c r="I147" s="542">
        <f t="shared" si="32"/>
        <v>0</v>
      </c>
      <c r="J147" s="478">
        <f t="shared" si="22"/>
        <v>0</v>
      </c>
      <c r="K147" s="478"/>
      <c r="L147" s="487"/>
      <c r="M147" s="478">
        <f t="shared" si="34"/>
        <v>0</v>
      </c>
      <c r="N147" s="487"/>
      <c r="O147" s="478">
        <f t="shared" si="35"/>
        <v>0</v>
      </c>
      <c r="P147" s="478">
        <f t="shared" si="36"/>
        <v>0</v>
      </c>
    </row>
    <row r="148" spans="2:16">
      <c r="B148" s="160" t="str">
        <f t="shared" si="21"/>
        <v/>
      </c>
      <c r="C148" s="472">
        <f>IF(D93="","-",+C147+1)</f>
        <v>2063</v>
      </c>
      <c r="D148" s="347">
        <f>IF(F147+SUM(E$99:E147)=D$92,F147,D$92-SUM(E$99:E147))</f>
        <v>0</v>
      </c>
      <c r="E148" s="484">
        <f t="shared" si="28"/>
        <v>0</v>
      </c>
      <c r="F148" s="485">
        <f t="shared" si="29"/>
        <v>0</v>
      </c>
      <c r="G148" s="485">
        <f t="shared" si="30"/>
        <v>0</v>
      </c>
      <c r="H148" s="486">
        <f t="shared" si="31"/>
        <v>0</v>
      </c>
      <c r="I148" s="542">
        <f t="shared" si="32"/>
        <v>0</v>
      </c>
      <c r="J148" s="478">
        <f t="shared" si="22"/>
        <v>0</v>
      </c>
      <c r="K148" s="478"/>
      <c r="L148" s="487"/>
      <c r="M148" s="478">
        <f t="shared" si="34"/>
        <v>0</v>
      </c>
      <c r="N148" s="487"/>
      <c r="O148" s="478">
        <f t="shared" si="35"/>
        <v>0</v>
      </c>
      <c r="P148" s="478">
        <f t="shared" si="36"/>
        <v>0</v>
      </c>
    </row>
    <row r="149" spans="2:16">
      <c r="B149" s="160" t="str">
        <f t="shared" si="21"/>
        <v/>
      </c>
      <c r="C149" s="472">
        <f>IF(D93="","-",+C148+1)</f>
        <v>2064</v>
      </c>
      <c r="D149" s="347">
        <f>IF(F148+SUM(E$99:E148)=D$92,F148,D$92-SUM(E$99:E148))</f>
        <v>0</v>
      </c>
      <c r="E149" s="484">
        <f t="shared" si="28"/>
        <v>0</v>
      </c>
      <c r="F149" s="485">
        <f t="shared" si="29"/>
        <v>0</v>
      </c>
      <c r="G149" s="485">
        <f t="shared" si="30"/>
        <v>0</v>
      </c>
      <c r="H149" s="486">
        <f t="shared" si="31"/>
        <v>0</v>
      </c>
      <c r="I149" s="542">
        <f t="shared" si="32"/>
        <v>0</v>
      </c>
      <c r="J149" s="478">
        <f t="shared" si="22"/>
        <v>0</v>
      </c>
      <c r="K149" s="478"/>
      <c r="L149" s="487"/>
      <c r="M149" s="478">
        <f t="shared" si="34"/>
        <v>0</v>
      </c>
      <c r="N149" s="487"/>
      <c r="O149" s="478">
        <f t="shared" si="35"/>
        <v>0</v>
      </c>
      <c r="P149" s="478">
        <f t="shared" si="36"/>
        <v>0</v>
      </c>
    </row>
    <row r="150" spans="2:16">
      <c r="B150" s="160" t="str">
        <f t="shared" si="21"/>
        <v/>
      </c>
      <c r="C150" s="472">
        <f>IF(D93="","-",+C149+1)</f>
        <v>2065</v>
      </c>
      <c r="D150" s="347">
        <f>IF(F149+SUM(E$99:E149)=D$92,F149,D$92-SUM(E$99:E149))</f>
        <v>0</v>
      </c>
      <c r="E150" s="484">
        <f t="shared" si="28"/>
        <v>0</v>
      </c>
      <c r="F150" s="485">
        <f t="shared" si="29"/>
        <v>0</v>
      </c>
      <c r="G150" s="485">
        <f t="shared" si="30"/>
        <v>0</v>
      </c>
      <c r="H150" s="486">
        <f t="shared" si="31"/>
        <v>0</v>
      </c>
      <c r="I150" s="542">
        <f t="shared" si="32"/>
        <v>0</v>
      </c>
      <c r="J150" s="478">
        <f t="shared" si="22"/>
        <v>0</v>
      </c>
      <c r="K150" s="478"/>
      <c r="L150" s="487"/>
      <c r="M150" s="478">
        <f t="shared" si="34"/>
        <v>0</v>
      </c>
      <c r="N150" s="487"/>
      <c r="O150" s="478">
        <f t="shared" si="35"/>
        <v>0</v>
      </c>
      <c r="P150" s="478">
        <f t="shared" si="36"/>
        <v>0</v>
      </c>
    </row>
    <row r="151" spans="2:16">
      <c r="B151" s="160" t="str">
        <f t="shared" si="21"/>
        <v/>
      </c>
      <c r="C151" s="472">
        <f>IF(D93="","-",+C150+1)</f>
        <v>2066</v>
      </c>
      <c r="D151" s="347">
        <f>IF(F150+SUM(E$99:E150)=D$92,F150,D$92-SUM(E$99:E150))</f>
        <v>0</v>
      </c>
      <c r="E151" s="484">
        <f t="shared" si="28"/>
        <v>0</v>
      </c>
      <c r="F151" s="485">
        <f t="shared" si="29"/>
        <v>0</v>
      </c>
      <c r="G151" s="485">
        <f t="shared" si="30"/>
        <v>0</v>
      </c>
      <c r="H151" s="486">
        <f t="shared" si="31"/>
        <v>0</v>
      </c>
      <c r="I151" s="542">
        <f t="shared" si="32"/>
        <v>0</v>
      </c>
      <c r="J151" s="478">
        <f t="shared" si="22"/>
        <v>0</v>
      </c>
      <c r="K151" s="478"/>
      <c r="L151" s="487"/>
      <c r="M151" s="478">
        <f t="shared" si="34"/>
        <v>0</v>
      </c>
      <c r="N151" s="487"/>
      <c r="O151" s="478">
        <f t="shared" si="35"/>
        <v>0</v>
      </c>
      <c r="P151" s="478">
        <f t="shared" si="36"/>
        <v>0</v>
      </c>
    </row>
    <row r="152" spans="2:16">
      <c r="B152" s="160" t="str">
        <f t="shared" si="21"/>
        <v/>
      </c>
      <c r="C152" s="472">
        <f>IF(D93="","-",+C151+1)</f>
        <v>2067</v>
      </c>
      <c r="D152" s="347">
        <f>IF(F151+SUM(E$99:E151)=D$92,F151,D$92-SUM(E$99:E151))</f>
        <v>0</v>
      </c>
      <c r="E152" s="484">
        <f t="shared" si="28"/>
        <v>0</v>
      </c>
      <c r="F152" s="485">
        <f t="shared" si="29"/>
        <v>0</v>
      </c>
      <c r="G152" s="485">
        <f t="shared" si="30"/>
        <v>0</v>
      </c>
      <c r="H152" s="486">
        <f t="shared" si="31"/>
        <v>0</v>
      </c>
      <c r="I152" s="542">
        <f t="shared" si="32"/>
        <v>0</v>
      </c>
      <c r="J152" s="478">
        <f t="shared" si="22"/>
        <v>0</v>
      </c>
      <c r="K152" s="478"/>
      <c r="L152" s="487"/>
      <c r="M152" s="478">
        <f t="shared" si="34"/>
        <v>0</v>
      </c>
      <c r="N152" s="487"/>
      <c r="O152" s="478">
        <f t="shared" si="35"/>
        <v>0</v>
      </c>
      <c r="P152" s="478">
        <f t="shared" si="36"/>
        <v>0</v>
      </c>
    </row>
    <row r="153" spans="2:16">
      <c r="B153" s="160" t="str">
        <f t="shared" si="21"/>
        <v/>
      </c>
      <c r="C153" s="472">
        <f>IF(D93="","-",+C152+1)</f>
        <v>2068</v>
      </c>
      <c r="D153" s="347">
        <f>IF(F152+SUM(E$99:E152)=D$92,F152,D$92-SUM(E$99:E152))</f>
        <v>0</v>
      </c>
      <c r="E153" s="484">
        <f t="shared" si="28"/>
        <v>0</v>
      </c>
      <c r="F153" s="485">
        <f t="shared" si="29"/>
        <v>0</v>
      </c>
      <c r="G153" s="485">
        <f t="shared" si="30"/>
        <v>0</v>
      </c>
      <c r="H153" s="486">
        <f t="shared" si="31"/>
        <v>0</v>
      </c>
      <c r="I153" s="542">
        <f t="shared" si="32"/>
        <v>0</v>
      </c>
      <c r="J153" s="478">
        <f t="shared" si="22"/>
        <v>0</v>
      </c>
      <c r="K153" s="478"/>
      <c r="L153" s="487"/>
      <c r="M153" s="478">
        <f t="shared" si="34"/>
        <v>0</v>
      </c>
      <c r="N153" s="487"/>
      <c r="O153" s="478">
        <f t="shared" si="35"/>
        <v>0</v>
      </c>
      <c r="P153" s="478">
        <f t="shared" si="36"/>
        <v>0</v>
      </c>
    </row>
    <row r="154" spans="2:16" ht="13.5" thickBot="1">
      <c r="B154" s="160" t="str">
        <f t="shared" si="21"/>
        <v/>
      </c>
      <c r="C154" s="489">
        <f>IF(D93="","-",+C153+1)</f>
        <v>2069</v>
      </c>
      <c r="D154" s="576">
        <f>IF(F153+SUM(E$99:E153)=D$92,F153,D$92-SUM(E$99:E153))</f>
        <v>0</v>
      </c>
      <c r="E154" s="491">
        <f t="shared" si="28"/>
        <v>0</v>
      </c>
      <c r="F154" s="490">
        <f t="shared" si="29"/>
        <v>0</v>
      </c>
      <c r="G154" s="490">
        <f t="shared" si="30"/>
        <v>0</v>
      </c>
      <c r="H154" s="492">
        <f t="shared" ref="H154" si="37">+J$94*G154+E154</f>
        <v>0</v>
      </c>
      <c r="I154" s="545">
        <f t="shared" ref="I154" si="38">+J$95*G154+E154</f>
        <v>0</v>
      </c>
      <c r="J154" s="495">
        <f t="shared" si="22"/>
        <v>0</v>
      </c>
      <c r="K154" s="495"/>
      <c r="L154" s="494"/>
      <c r="M154" s="495">
        <f t="shared" si="34"/>
        <v>0</v>
      </c>
      <c r="N154" s="494"/>
      <c r="O154" s="495">
        <f t="shared" si="35"/>
        <v>0</v>
      </c>
      <c r="P154" s="495">
        <f t="shared" si="36"/>
        <v>0</v>
      </c>
    </row>
    <row r="155" spans="2:16">
      <c r="C155" s="347" t="s">
        <v>77</v>
      </c>
      <c r="D155" s="348"/>
      <c r="E155" s="348">
        <f>SUM(E99:E154)</f>
        <v>2246628.5699999998</v>
      </c>
      <c r="F155" s="348"/>
      <c r="G155" s="348"/>
      <c r="H155" s="348">
        <f>SUM(H99:H154)</f>
        <v>7671153.2754032249</v>
      </c>
      <c r="I155" s="348">
        <f>SUM(I99:I154)</f>
        <v>7671153.2754032249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31" priority="1" stopIfTrue="1" operator="equal">
      <formula>$I$10</formula>
    </cfRule>
  </conditionalFormatting>
  <conditionalFormatting sqref="C99:C154">
    <cfRule type="cellIs" dxfId="3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5"/>
  <dimension ref="A1:P162"/>
  <sheetViews>
    <sheetView zoomScaleNormal="100" zoomScaleSheetLayoutView="80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16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578359.62790697673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578359.62790697673</v>
      </c>
      <c r="O6" s="233"/>
      <c r="P6" s="233"/>
    </row>
    <row r="7" spans="1:16" ht="13.5" thickBot="1">
      <c r="C7" s="431" t="s">
        <v>46</v>
      </c>
      <c r="D7" s="599" t="s">
        <v>255</v>
      </c>
      <c r="E7" s="600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254</v>
      </c>
      <c r="E9" s="577" t="s">
        <v>262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5059278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2014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117657.62790697675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2014</v>
      </c>
      <c r="D17" s="584">
        <v>5300000</v>
      </c>
      <c r="E17" s="608">
        <v>0</v>
      </c>
      <c r="F17" s="584">
        <v>5300000</v>
      </c>
      <c r="G17" s="608">
        <v>729591.46876123699</v>
      </c>
      <c r="H17" s="587">
        <v>729591.46876123699</v>
      </c>
      <c r="I17" s="475">
        <v>0</v>
      </c>
      <c r="J17" s="475"/>
      <c r="K17" s="476">
        <f t="shared" ref="K17:K22" si="0">G17</f>
        <v>729591.46876123699</v>
      </c>
      <c r="L17" s="603">
        <f t="shared" ref="L17:L22" si="1">IF(K17&lt;&gt;0,+G17-K17,0)</f>
        <v>0</v>
      </c>
      <c r="M17" s="476">
        <f t="shared" ref="M17:M22" si="2">H17</f>
        <v>729591.46876123699</v>
      </c>
      <c r="N17" s="478">
        <f>IF(M17&lt;&gt;0,+H17-M17,0)</f>
        <v>0</v>
      </c>
      <c r="O17" s="475">
        <f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2015</v>
      </c>
      <c r="D18" s="584">
        <v>5300000</v>
      </c>
      <c r="E18" s="585">
        <v>101923.07692307692</v>
      </c>
      <c r="F18" s="584">
        <v>5198076.923076923</v>
      </c>
      <c r="G18" s="585">
        <v>818590.55430690572</v>
      </c>
      <c r="H18" s="587">
        <v>818590.55430690572</v>
      </c>
      <c r="I18" s="475">
        <v>0</v>
      </c>
      <c r="J18" s="475"/>
      <c r="K18" s="476">
        <f t="shared" si="0"/>
        <v>818590.55430690572</v>
      </c>
      <c r="L18" s="603">
        <f t="shared" si="1"/>
        <v>0</v>
      </c>
      <c r="M18" s="476">
        <f t="shared" si="2"/>
        <v>818590.55430690572</v>
      </c>
      <c r="N18" s="478">
        <f>IF(M18&lt;&gt;0,+H18-M18,0)</f>
        <v>0</v>
      </c>
      <c r="O18" s="475">
        <f>+N18-L18</f>
        <v>0</v>
      </c>
      <c r="P18" s="243"/>
    </row>
    <row r="19" spans="2:16">
      <c r="B19" s="160" t="str">
        <f>IF(D19=F18,"","IU")</f>
        <v>IU</v>
      </c>
      <c r="C19" s="472">
        <f>IF(D11="","-",+C18+1)</f>
        <v>2016</v>
      </c>
      <c r="D19" s="584">
        <v>4969414.923076923</v>
      </c>
      <c r="E19" s="585">
        <v>97525.730769230766</v>
      </c>
      <c r="F19" s="584">
        <v>4871889.192307692</v>
      </c>
      <c r="G19" s="585">
        <v>736520.73076923075</v>
      </c>
      <c r="H19" s="587">
        <v>736520.73076923075</v>
      </c>
      <c r="I19" s="475">
        <f>H19-G19</f>
        <v>0</v>
      </c>
      <c r="J19" s="475"/>
      <c r="K19" s="476">
        <f t="shared" si="0"/>
        <v>736520.73076923075</v>
      </c>
      <c r="L19" s="603">
        <f t="shared" si="1"/>
        <v>0</v>
      </c>
      <c r="M19" s="476">
        <f t="shared" si="2"/>
        <v>736520.73076923075</v>
      </c>
      <c r="N19" s="478">
        <f>IF(M19&lt;&gt;0,+H19-M19,0)</f>
        <v>0</v>
      </c>
      <c r="O19" s="475">
        <f>+N19-L19</f>
        <v>0</v>
      </c>
      <c r="P19" s="243"/>
    </row>
    <row r="20" spans="2:16">
      <c r="B20" s="160" t="str">
        <f t="shared" ref="B20:B72" si="3">IF(D20=F19,"","IU")</f>
        <v>IU</v>
      </c>
      <c r="C20" s="472">
        <f>IF(D11="","-",+C19+1)</f>
        <v>2017</v>
      </c>
      <c r="D20" s="584">
        <v>4859829.192307692</v>
      </c>
      <c r="E20" s="585">
        <v>109984.30434782608</v>
      </c>
      <c r="F20" s="584">
        <v>4749844.8879598659</v>
      </c>
      <c r="G20" s="585">
        <v>714452.30434782605</v>
      </c>
      <c r="H20" s="587">
        <v>714452.30434782605</v>
      </c>
      <c r="I20" s="475">
        <f t="shared" ref="I20:I72" si="4">H20-G20</f>
        <v>0</v>
      </c>
      <c r="J20" s="475"/>
      <c r="K20" s="476">
        <f t="shared" si="0"/>
        <v>714452.30434782605</v>
      </c>
      <c r="L20" s="603">
        <f t="shared" si="1"/>
        <v>0</v>
      </c>
      <c r="M20" s="476">
        <f t="shared" si="2"/>
        <v>714452.30434782605</v>
      </c>
      <c r="N20" s="478">
        <f>IF(M20&lt;&gt;0,+H20-M20,0)</f>
        <v>0</v>
      </c>
      <c r="O20" s="475">
        <f>+N20-L20</f>
        <v>0</v>
      </c>
      <c r="P20" s="243"/>
    </row>
    <row r="21" spans="2:16">
      <c r="B21" s="160" t="str">
        <f t="shared" si="3"/>
        <v/>
      </c>
      <c r="C21" s="472">
        <f>IF(D11="","-",+C20+1)</f>
        <v>2018</v>
      </c>
      <c r="D21" s="584">
        <v>4749844.8879598659</v>
      </c>
      <c r="E21" s="585">
        <v>112428.4</v>
      </c>
      <c r="F21" s="584">
        <v>4637416.4879598655</v>
      </c>
      <c r="G21" s="585">
        <v>740035.4</v>
      </c>
      <c r="H21" s="587">
        <v>740035.4</v>
      </c>
      <c r="I21" s="475">
        <f t="shared" si="4"/>
        <v>0</v>
      </c>
      <c r="J21" s="475"/>
      <c r="K21" s="476">
        <f t="shared" si="0"/>
        <v>740035.4</v>
      </c>
      <c r="L21" s="603">
        <f t="shared" si="1"/>
        <v>0</v>
      </c>
      <c r="M21" s="476">
        <f t="shared" si="2"/>
        <v>740035.4</v>
      </c>
      <c r="N21" s="478">
        <f>IF(M21&lt;&gt;0,+H21-M21,0)</f>
        <v>0</v>
      </c>
      <c r="O21" s="475">
        <f>+N21-L21</f>
        <v>0</v>
      </c>
      <c r="P21" s="243"/>
    </row>
    <row r="22" spans="2:16">
      <c r="B22" s="160" t="str">
        <f t="shared" si="3"/>
        <v/>
      </c>
      <c r="C22" s="472">
        <f>IF(D11="","-",+C21+1)</f>
        <v>2019</v>
      </c>
      <c r="D22" s="584">
        <v>4637416.4879598655</v>
      </c>
      <c r="E22" s="585">
        <v>112428.4</v>
      </c>
      <c r="F22" s="584">
        <v>4524988.0879598651</v>
      </c>
      <c r="G22" s="585">
        <v>724819.4</v>
      </c>
      <c r="H22" s="587">
        <v>724819.4</v>
      </c>
      <c r="I22" s="475">
        <f t="shared" si="4"/>
        <v>0</v>
      </c>
      <c r="J22" s="475"/>
      <c r="K22" s="476">
        <f t="shared" si="0"/>
        <v>724819.4</v>
      </c>
      <c r="L22" s="603">
        <f t="shared" si="1"/>
        <v>0</v>
      </c>
      <c r="M22" s="476">
        <f t="shared" si="2"/>
        <v>724819.4</v>
      </c>
      <c r="N22" s="478">
        <f t="shared" ref="N22:N72" si="5">IF(M22&lt;&gt;0,+H22-M22,0)</f>
        <v>0</v>
      </c>
      <c r="O22" s="478">
        <f t="shared" ref="O22:O72" si="6">+N22-L22</f>
        <v>0</v>
      </c>
      <c r="P22" s="243"/>
    </row>
    <row r="23" spans="2:16">
      <c r="B23" s="160" t="str">
        <f t="shared" si="3"/>
        <v/>
      </c>
      <c r="C23" s="472">
        <f>IF(D11="","-",+C22+1)</f>
        <v>2020</v>
      </c>
      <c r="D23" s="584">
        <v>4524988.0879598651</v>
      </c>
      <c r="E23" s="585">
        <v>120459</v>
      </c>
      <c r="F23" s="584">
        <v>4404529.0879598651</v>
      </c>
      <c r="G23" s="585">
        <v>602674.25524940272</v>
      </c>
      <c r="H23" s="587">
        <v>602674.25524940272</v>
      </c>
      <c r="I23" s="475">
        <f t="shared" si="4"/>
        <v>0</v>
      </c>
      <c r="J23" s="475"/>
      <c r="K23" s="476">
        <f t="shared" ref="K23" si="7">G23</f>
        <v>602674.25524940272</v>
      </c>
      <c r="L23" s="603">
        <f t="shared" ref="L23" si="8">IF(K23&lt;&gt;0,+G23-K23,0)</f>
        <v>0</v>
      </c>
      <c r="M23" s="476">
        <f t="shared" ref="M23" si="9">H23</f>
        <v>602674.25524940272</v>
      </c>
      <c r="N23" s="478">
        <f t="shared" si="5"/>
        <v>0</v>
      </c>
      <c r="O23" s="478">
        <f t="shared" si="6"/>
        <v>0</v>
      </c>
      <c r="P23" s="243"/>
    </row>
    <row r="24" spans="2:16">
      <c r="B24" s="160" t="str">
        <f t="shared" si="3"/>
        <v>IU</v>
      </c>
      <c r="C24" s="472">
        <f>IF(D11="","-",+C23+1)</f>
        <v>2021</v>
      </c>
      <c r="D24" s="584">
        <v>4390475.5379598662</v>
      </c>
      <c r="E24" s="585">
        <v>117657.62790697675</v>
      </c>
      <c r="F24" s="584">
        <v>4272817.910052889</v>
      </c>
      <c r="G24" s="585">
        <v>578359.62790697673</v>
      </c>
      <c r="H24" s="587">
        <v>578359.62790697673</v>
      </c>
      <c r="I24" s="475">
        <f t="shared" si="4"/>
        <v>0</v>
      </c>
      <c r="J24" s="475"/>
      <c r="K24" s="476">
        <f t="shared" ref="K24" si="10">G24</f>
        <v>578359.62790697673</v>
      </c>
      <c r="L24" s="603">
        <f t="shared" ref="L24" si="11">IF(K24&lt;&gt;0,+G24-K24,0)</f>
        <v>0</v>
      </c>
      <c r="M24" s="476">
        <f t="shared" ref="M24" si="12">H24</f>
        <v>578359.62790697673</v>
      </c>
      <c r="N24" s="478">
        <f t="shared" si="5"/>
        <v>0</v>
      </c>
      <c r="O24" s="478">
        <f t="shared" si="6"/>
        <v>0</v>
      </c>
      <c r="P24" s="243"/>
    </row>
    <row r="25" spans="2:16">
      <c r="B25" s="160" t="str">
        <f t="shared" si="3"/>
        <v>IU</v>
      </c>
      <c r="C25" s="472">
        <f>IF(D11="","-",+C24+1)</f>
        <v>2022</v>
      </c>
      <c r="D25" s="485">
        <f>IF(F24+SUM(E$17:E24)=D$10,F24,D$10-SUM(E$17:E24))</f>
        <v>4286871.4600528898</v>
      </c>
      <c r="E25" s="484">
        <f t="shared" ref="E25:E72" si="13">IF(+$I$14&lt;F24,$I$14,D25)</f>
        <v>117657.62790697675</v>
      </c>
      <c r="F25" s="485">
        <f t="shared" ref="F25:F72" si="14">+D25-E25</f>
        <v>4169213.832145913</v>
      </c>
      <c r="G25" s="486">
        <f t="shared" ref="G25:G72" si="15">(D25+F25)/2*I$12+E25</f>
        <v>604120.72007671685</v>
      </c>
      <c r="H25" s="455">
        <f t="shared" ref="H25:H72" si="16">+(D25+F25)/2*I$13+E25</f>
        <v>604120.72007671685</v>
      </c>
      <c r="I25" s="475">
        <f t="shared" si="4"/>
        <v>0</v>
      </c>
      <c r="J25" s="475"/>
      <c r="K25" s="487"/>
      <c r="L25" s="478">
        <f t="shared" ref="L25:L72" si="17">IF(K25&lt;&gt;0,+G25-K25,0)</f>
        <v>0</v>
      </c>
      <c r="M25" s="487"/>
      <c r="N25" s="478">
        <f t="shared" si="5"/>
        <v>0</v>
      </c>
      <c r="O25" s="478">
        <f t="shared" si="6"/>
        <v>0</v>
      </c>
      <c r="P25" s="243"/>
    </row>
    <row r="26" spans="2:16">
      <c r="B26" s="160" t="str">
        <f t="shared" si="3"/>
        <v/>
      </c>
      <c r="C26" s="472">
        <f>IF(D11="","-",+C25+1)</f>
        <v>2023</v>
      </c>
      <c r="D26" s="485">
        <f>IF(F25+SUM(E$17:E25)=D$10,F25,D$10-SUM(E$17:E25))</f>
        <v>4169213.832145913</v>
      </c>
      <c r="E26" s="484">
        <f t="shared" si="13"/>
        <v>117657.62790697675</v>
      </c>
      <c r="F26" s="485">
        <f t="shared" si="14"/>
        <v>4051556.2042389363</v>
      </c>
      <c r="G26" s="486">
        <f t="shared" si="15"/>
        <v>590583.46459472971</v>
      </c>
      <c r="H26" s="455">
        <f t="shared" si="16"/>
        <v>590583.46459472971</v>
      </c>
      <c r="I26" s="475">
        <f t="shared" si="4"/>
        <v>0</v>
      </c>
      <c r="J26" s="475"/>
      <c r="K26" s="487"/>
      <c r="L26" s="478">
        <f t="shared" si="17"/>
        <v>0</v>
      </c>
      <c r="M26" s="487"/>
      <c r="N26" s="478">
        <f t="shared" si="5"/>
        <v>0</v>
      </c>
      <c r="O26" s="478">
        <f t="shared" si="6"/>
        <v>0</v>
      </c>
      <c r="P26" s="243"/>
    </row>
    <row r="27" spans="2:16">
      <c r="B27" s="160" t="str">
        <f t="shared" si="3"/>
        <v/>
      </c>
      <c r="C27" s="472">
        <f>IF(D11="","-",+C26+1)</f>
        <v>2024</v>
      </c>
      <c r="D27" s="485">
        <f>IF(F26+SUM(E$17:E26)=D$10,F26,D$10-SUM(E$17:E26))</f>
        <v>4051556.2042389363</v>
      </c>
      <c r="E27" s="484">
        <f t="shared" si="13"/>
        <v>117657.62790697675</v>
      </c>
      <c r="F27" s="485">
        <f t="shared" si="14"/>
        <v>3933898.5763319596</v>
      </c>
      <c r="G27" s="486">
        <f t="shared" si="15"/>
        <v>577046.20911274257</v>
      </c>
      <c r="H27" s="455">
        <f t="shared" si="16"/>
        <v>577046.20911274257</v>
      </c>
      <c r="I27" s="475">
        <f t="shared" si="4"/>
        <v>0</v>
      </c>
      <c r="J27" s="475"/>
      <c r="K27" s="487"/>
      <c r="L27" s="478">
        <f t="shared" si="17"/>
        <v>0</v>
      </c>
      <c r="M27" s="487"/>
      <c r="N27" s="478">
        <f t="shared" si="5"/>
        <v>0</v>
      </c>
      <c r="O27" s="478">
        <f t="shared" si="6"/>
        <v>0</v>
      </c>
      <c r="P27" s="243"/>
    </row>
    <row r="28" spans="2:16">
      <c r="B28" s="160" t="str">
        <f t="shared" si="3"/>
        <v/>
      </c>
      <c r="C28" s="472">
        <f>IF(D11="","-",+C27+1)</f>
        <v>2025</v>
      </c>
      <c r="D28" s="485">
        <f>IF(F27+SUM(E$17:E27)=D$10,F27,D$10-SUM(E$17:E27))</f>
        <v>3933898.5763319596</v>
      </c>
      <c r="E28" s="484">
        <f t="shared" si="13"/>
        <v>117657.62790697675</v>
      </c>
      <c r="F28" s="485">
        <f t="shared" si="14"/>
        <v>3816240.9484249828</v>
      </c>
      <c r="G28" s="486">
        <f t="shared" si="15"/>
        <v>563508.95363075542</v>
      </c>
      <c r="H28" s="455">
        <f t="shared" si="16"/>
        <v>563508.95363075542</v>
      </c>
      <c r="I28" s="475">
        <f t="shared" si="4"/>
        <v>0</v>
      </c>
      <c r="J28" s="475"/>
      <c r="K28" s="487"/>
      <c r="L28" s="478">
        <f t="shared" si="17"/>
        <v>0</v>
      </c>
      <c r="M28" s="487"/>
      <c r="N28" s="478">
        <f t="shared" si="5"/>
        <v>0</v>
      </c>
      <c r="O28" s="478">
        <f t="shared" si="6"/>
        <v>0</v>
      </c>
      <c r="P28" s="243"/>
    </row>
    <row r="29" spans="2:16">
      <c r="B29" s="160" t="str">
        <f t="shared" si="3"/>
        <v/>
      </c>
      <c r="C29" s="472">
        <f>IF(D11="","-",+C28+1)</f>
        <v>2026</v>
      </c>
      <c r="D29" s="485">
        <f>IF(F28+SUM(E$17:E28)=D$10,F28,D$10-SUM(E$17:E28))</f>
        <v>3816240.9484249828</v>
      </c>
      <c r="E29" s="484">
        <f t="shared" si="13"/>
        <v>117657.62790697675</v>
      </c>
      <c r="F29" s="485">
        <f t="shared" si="14"/>
        <v>3698583.3205180061</v>
      </c>
      <c r="G29" s="486">
        <f t="shared" si="15"/>
        <v>549971.69814876828</v>
      </c>
      <c r="H29" s="455">
        <f t="shared" si="16"/>
        <v>549971.69814876828</v>
      </c>
      <c r="I29" s="475">
        <f t="shared" si="4"/>
        <v>0</v>
      </c>
      <c r="J29" s="475"/>
      <c r="K29" s="487"/>
      <c r="L29" s="478">
        <f t="shared" si="17"/>
        <v>0</v>
      </c>
      <c r="M29" s="487"/>
      <c r="N29" s="478">
        <f t="shared" si="5"/>
        <v>0</v>
      </c>
      <c r="O29" s="478">
        <f t="shared" si="6"/>
        <v>0</v>
      </c>
      <c r="P29" s="243"/>
    </row>
    <row r="30" spans="2:16">
      <c r="B30" s="160" t="str">
        <f t="shared" si="3"/>
        <v/>
      </c>
      <c r="C30" s="472">
        <f>IF(D11="","-",+C29+1)</f>
        <v>2027</v>
      </c>
      <c r="D30" s="485">
        <f>IF(F29+SUM(E$17:E29)=D$10,F29,D$10-SUM(E$17:E29))</f>
        <v>3698583.3205180061</v>
      </c>
      <c r="E30" s="484">
        <f t="shared" si="13"/>
        <v>117657.62790697675</v>
      </c>
      <c r="F30" s="485">
        <f t="shared" si="14"/>
        <v>3580925.6926110294</v>
      </c>
      <c r="G30" s="486">
        <f t="shared" si="15"/>
        <v>536434.44266678102</v>
      </c>
      <c r="H30" s="455">
        <f t="shared" si="16"/>
        <v>536434.44266678102</v>
      </c>
      <c r="I30" s="475">
        <f t="shared" si="4"/>
        <v>0</v>
      </c>
      <c r="J30" s="475"/>
      <c r="K30" s="487"/>
      <c r="L30" s="478">
        <f t="shared" si="17"/>
        <v>0</v>
      </c>
      <c r="M30" s="487"/>
      <c r="N30" s="478">
        <f t="shared" si="5"/>
        <v>0</v>
      </c>
      <c r="O30" s="478">
        <f t="shared" si="6"/>
        <v>0</v>
      </c>
      <c r="P30" s="243"/>
    </row>
    <row r="31" spans="2:16">
      <c r="B31" s="160" t="str">
        <f t="shared" si="3"/>
        <v/>
      </c>
      <c r="C31" s="472">
        <f>IF(D11="","-",+C30+1)</f>
        <v>2028</v>
      </c>
      <c r="D31" s="485">
        <f>IF(F30+SUM(E$17:E30)=D$10,F30,D$10-SUM(E$17:E30))</f>
        <v>3580925.6926110294</v>
      </c>
      <c r="E31" s="484">
        <f t="shared" si="13"/>
        <v>117657.62790697675</v>
      </c>
      <c r="F31" s="485">
        <f t="shared" si="14"/>
        <v>3463268.0647040526</v>
      </c>
      <c r="G31" s="486">
        <f t="shared" si="15"/>
        <v>522897.18718479393</v>
      </c>
      <c r="H31" s="455">
        <f t="shared" si="16"/>
        <v>522897.18718479393</v>
      </c>
      <c r="I31" s="475">
        <f t="shared" si="4"/>
        <v>0</v>
      </c>
      <c r="J31" s="475"/>
      <c r="K31" s="487"/>
      <c r="L31" s="478">
        <f t="shared" si="17"/>
        <v>0</v>
      </c>
      <c r="M31" s="487"/>
      <c r="N31" s="478">
        <f t="shared" si="5"/>
        <v>0</v>
      </c>
      <c r="O31" s="478">
        <f t="shared" si="6"/>
        <v>0</v>
      </c>
      <c r="P31" s="243"/>
    </row>
    <row r="32" spans="2:16">
      <c r="B32" s="160" t="str">
        <f t="shared" si="3"/>
        <v/>
      </c>
      <c r="C32" s="472">
        <f>IF(D11="","-",+C31+1)</f>
        <v>2029</v>
      </c>
      <c r="D32" s="485">
        <f>IF(F31+SUM(E$17:E31)=D$10,F31,D$10-SUM(E$17:E31))</f>
        <v>3463268.0647040526</v>
      </c>
      <c r="E32" s="484">
        <f t="shared" si="13"/>
        <v>117657.62790697675</v>
      </c>
      <c r="F32" s="485">
        <f t="shared" si="14"/>
        <v>3345610.4367970759</v>
      </c>
      <c r="G32" s="486">
        <f t="shared" si="15"/>
        <v>509359.93170280673</v>
      </c>
      <c r="H32" s="455">
        <f t="shared" si="16"/>
        <v>509359.93170280673</v>
      </c>
      <c r="I32" s="475">
        <f t="shared" si="4"/>
        <v>0</v>
      </c>
      <c r="J32" s="475"/>
      <c r="K32" s="487"/>
      <c r="L32" s="478">
        <f t="shared" si="17"/>
        <v>0</v>
      </c>
      <c r="M32" s="487"/>
      <c r="N32" s="478">
        <f t="shared" si="5"/>
        <v>0</v>
      </c>
      <c r="O32" s="478">
        <f t="shared" si="6"/>
        <v>0</v>
      </c>
      <c r="P32" s="243"/>
    </row>
    <row r="33" spans="2:16">
      <c r="B33" s="160" t="str">
        <f t="shared" si="3"/>
        <v/>
      </c>
      <c r="C33" s="472">
        <f>IF(D11="","-",+C32+1)</f>
        <v>2030</v>
      </c>
      <c r="D33" s="485">
        <f>IF(F32+SUM(E$17:E32)=D$10,F32,D$10-SUM(E$17:E32))</f>
        <v>3345610.4367970759</v>
      </c>
      <c r="E33" s="484">
        <f t="shared" si="13"/>
        <v>117657.62790697675</v>
      </c>
      <c r="F33" s="485">
        <f t="shared" si="14"/>
        <v>3227952.8088900992</v>
      </c>
      <c r="G33" s="486">
        <f t="shared" si="15"/>
        <v>495822.67622081965</v>
      </c>
      <c r="H33" s="455">
        <f t="shared" si="16"/>
        <v>495822.67622081965</v>
      </c>
      <c r="I33" s="475">
        <f t="shared" si="4"/>
        <v>0</v>
      </c>
      <c r="J33" s="475"/>
      <c r="K33" s="487"/>
      <c r="L33" s="478">
        <f t="shared" si="17"/>
        <v>0</v>
      </c>
      <c r="M33" s="487"/>
      <c r="N33" s="478">
        <f t="shared" si="5"/>
        <v>0</v>
      </c>
      <c r="O33" s="478">
        <f t="shared" si="6"/>
        <v>0</v>
      </c>
      <c r="P33" s="243"/>
    </row>
    <row r="34" spans="2:16">
      <c r="B34" s="160" t="str">
        <f t="shared" si="3"/>
        <v/>
      </c>
      <c r="C34" s="472">
        <f>IF(D11="","-",+C33+1)</f>
        <v>2031</v>
      </c>
      <c r="D34" s="485">
        <f>IF(F33+SUM(E$17:E33)=D$10,F33,D$10-SUM(E$17:E33))</f>
        <v>3227952.8088900992</v>
      </c>
      <c r="E34" s="484">
        <f t="shared" si="13"/>
        <v>117657.62790697675</v>
      </c>
      <c r="F34" s="485">
        <f t="shared" si="14"/>
        <v>3110295.1809831224</v>
      </c>
      <c r="G34" s="486">
        <f t="shared" si="15"/>
        <v>482285.42073883238</v>
      </c>
      <c r="H34" s="455">
        <f t="shared" si="16"/>
        <v>482285.42073883238</v>
      </c>
      <c r="I34" s="475">
        <f t="shared" si="4"/>
        <v>0</v>
      </c>
      <c r="J34" s="475"/>
      <c r="K34" s="487"/>
      <c r="L34" s="478">
        <f t="shared" si="17"/>
        <v>0</v>
      </c>
      <c r="M34" s="487"/>
      <c r="N34" s="478">
        <f t="shared" si="5"/>
        <v>0</v>
      </c>
      <c r="O34" s="478">
        <f t="shared" si="6"/>
        <v>0</v>
      </c>
      <c r="P34" s="243"/>
    </row>
    <row r="35" spans="2:16">
      <c r="B35" s="160" t="str">
        <f t="shared" si="3"/>
        <v/>
      </c>
      <c r="C35" s="472">
        <f>IF(D11="","-",+C34+1)</f>
        <v>2032</v>
      </c>
      <c r="D35" s="485">
        <f>IF(F34+SUM(E$17:E34)=D$10,F34,D$10-SUM(E$17:E34))</f>
        <v>3110295.1809831224</v>
      </c>
      <c r="E35" s="484">
        <f t="shared" si="13"/>
        <v>117657.62790697675</v>
      </c>
      <c r="F35" s="485">
        <f t="shared" si="14"/>
        <v>2992637.5530761457</v>
      </c>
      <c r="G35" s="486">
        <f t="shared" si="15"/>
        <v>468748.1652568453</v>
      </c>
      <c r="H35" s="455">
        <f t="shared" si="16"/>
        <v>468748.1652568453</v>
      </c>
      <c r="I35" s="475">
        <f t="shared" si="4"/>
        <v>0</v>
      </c>
      <c r="J35" s="475"/>
      <c r="K35" s="487"/>
      <c r="L35" s="478">
        <f t="shared" si="17"/>
        <v>0</v>
      </c>
      <c r="M35" s="487"/>
      <c r="N35" s="478">
        <f t="shared" si="5"/>
        <v>0</v>
      </c>
      <c r="O35" s="478">
        <f t="shared" si="6"/>
        <v>0</v>
      </c>
      <c r="P35" s="243"/>
    </row>
    <row r="36" spans="2:16">
      <c r="B36" s="160" t="str">
        <f t="shared" si="3"/>
        <v/>
      </c>
      <c r="C36" s="472">
        <f>IF(D11="","-",+C35+1)</f>
        <v>2033</v>
      </c>
      <c r="D36" s="485">
        <f>IF(F35+SUM(E$17:E35)=D$10,F35,D$10-SUM(E$17:E35))</f>
        <v>2992637.5530761457</v>
      </c>
      <c r="E36" s="484">
        <f t="shared" si="13"/>
        <v>117657.62790697675</v>
      </c>
      <c r="F36" s="485">
        <f t="shared" si="14"/>
        <v>2874979.925169169</v>
      </c>
      <c r="G36" s="486">
        <f t="shared" si="15"/>
        <v>455210.9097748581</v>
      </c>
      <c r="H36" s="455">
        <f t="shared" si="16"/>
        <v>455210.9097748581</v>
      </c>
      <c r="I36" s="475">
        <f t="shared" si="4"/>
        <v>0</v>
      </c>
      <c r="J36" s="475"/>
      <c r="K36" s="487"/>
      <c r="L36" s="478">
        <f t="shared" si="17"/>
        <v>0</v>
      </c>
      <c r="M36" s="487"/>
      <c r="N36" s="478">
        <f t="shared" si="5"/>
        <v>0</v>
      </c>
      <c r="O36" s="478">
        <f t="shared" si="6"/>
        <v>0</v>
      </c>
      <c r="P36" s="243"/>
    </row>
    <row r="37" spans="2:16">
      <c r="B37" s="160" t="str">
        <f t="shared" si="3"/>
        <v/>
      </c>
      <c r="C37" s="472">
        <f>IF(D11="","-",+C36+1)</f>
        <v>2034</v>
      </c>
      <c r="D37" s="485">
        <f>IF(F36+SUM(E$17:E36)=D$10,F36,D$10-SUM(E$17:E36))</f>
        <v>2874979.925169169</v>
      </c>
      <c r="E37" s="484">
        <f t="shared" si="13"/>
        <v>117657.62790697675</v>
      </c>
      <c r="F37" s="485">
        <f t="shared" si="14"/>
        <v>2757322.2972621922</v>
      </c>
      <c r="G37" s="486">
        <f t="shared" si="15"/>
        <v>441673.65429287101</v>
      </c>
      <c r="H37" s="455">
        <f t="shared" si="16"/>
        <v>441673.65429287101</v>
      </c>
      <c r="I37" s="475">
        <f t="shared" si="4"/>
        <v>0</v>
      </c>
      <c r="J37" s="475"/>
      <c r="K37" s="487"/>
      <c r="L37" s="478">
        <f t="shared" si="17"/>
        <v>0</v>
      </c>
      <c r="M37" s="487"/>
      <c r="N37" s="478">
        <f t="shared" si="5"/>
        <v>0</v>
      </c>
      <c r="O37" s="478">
        <f t="shared" si="6"/>
        <v>0</v>
      </c>
      <c r="P37" s="243"/>
    </row>
    <row r="38" spans="2:16">
      <c r="B38" s="160" t="str">
        <f t="shared" si="3"/>
        <v/>
      </c>
      <c r="C38" s="472">
        <f>IF(D11="","-",+C37+1)</f>
        <v>2035</v>
      </c>
      <c r="D38" s="485">
        <f>IF(F37+SUM(E$17:E37)=D$10,F37,D$10-SUM(E$17:E37))</f>
        <v>2757322.2972621922</v>
      </c>
      <c r="E38" s="484">
        <f t="shared" si="13"/>
        <v>117657.62790697675</v>
      </c>
      <c r="F38" s="485">
        <f t="shared" si="14"/>
        <v>2639664.6693552155</v>
      </c>
      <c r="G38" s="486">
        <f t="shared" si="15"/>
        <v>428136.39881088375</v>
      </c>
      <c r="H38" s="455">
        <f t="shared" si="16"/>
        <v>428136.39881088375</v>
      </c>
      <c r="I38" s="475">
        <f t="shared" si="4"/>
        <v>0</v>
      </c>
      <c r="J38" s="475"/>
      <c r="K38" s="487"/>
      <c r="L38" s="478">
        <f t="shared" si="17"/>
        <v>0</v>
      </c>
      <c r="M38" s="487"/>
      <c r="N38" s="478">
        <f t="shared" si="5"/>
        <v>0</v>
      </c>
      <c r="O38" s="478">
        <f t="shared" si="6"/>
        <v>0</v>
      </c>
      <c r="P38" s="243"/>
    </row>
    <row r="39" spans="2:16">
      <c r="B39" s="160" t="str">
        <f t="shared" si="3"/>
        <v/>
      </c>
      <c r="C39" s="472">
        <f>IF(D11="","-",+C38+1)</f>
        <v>2036</v>
      </c>
      <c r="D39" s="485">
        <f>IF(F38+SUM(E$17:E38)=D$10,F38,D$10-SUM(E$17:E38))</f>
        <v>2639664.6693552155</v>
      </c>
      <c r="E39" s="484">
        <f t="shared" si="13"/>
        <v>117657.62790697675</v>
      </c>
      <c r="F39" s="485">
        <f t="shared" si="14"/>
        <v>2522007.0414482388</v>
      </c>
      <c r="G39" s="486">
        <f t="shared" si="15"/>
        <v>414599.14332889667</v>
      </c>
      <c r="H39" s="455">
        <f t="shared" si="16"/>
        <v>414599.14332889667</v>
      </c>
      <c r="I39" s="475">
        <f t="shared" si="4"/>
        <v>0</v>
      </c>
      <c r="J39" s="475"/>
      <c r="K39" s="487"/>
      <c r="L39" s="478">
        <f t="shared" si="17"/>
        <v>0</v>
      </c>
      <c r="M39" s="487"/>
      <c r="N39" s="478">
        <f t="shared" si="5"/>
        <v>0</v>
      </c>
      <c r="O39" s="478">
        <f t="shared" si="6"/>
        <v>0</v>
      </c>
      <c r="P39" s="243"/>
    </row>
    <row r="40" spans="2:16">
      <c r="B40" s="160" t="str">
        <f t="shared" si="3"/>
        <v/>
      </c>
      <c r="C40" s="472">
        <f>IF(D11="","-",+C39+1)</f>
        <v>2037</v>
      </c>
      <c r="D40" s="485">
        <f>IF(F39+SUM(E$17:E39)=D$10,F39,D$10-SUM(E$17:E39))</f>
        <v>2522007.0414482388</v>
      </c>
      <c r="E40" s="484">
        <f t="shared" si="13"/>
        <v>117657.62790697675</v>
      </c>
      <c r="F40" s="485">
        <f t="shared" si="14"/>
        <v>2404349.413541262</v>
      </c>
      <c r="G40" s="486">
        <f t="shared" si="15"/>
        <v>401061.88784690946</v>
      </c>
      <c r="H40" s="455">
        <f t="shared" si="16"/>
        <v>401061.88784690946</v>
      </c>
      <c r="I40" s="475">
        <f t="shared" si="4"/>
        <v>0</v>
      </c>
      <c r="J40" s="475"/>
      <c r="K40" s="487"/>
      <c r="L40" s="478">
        <f t="shared" si="17"/>
        <v>0</v>
      </c>
      <c r="M40" s="487"/>
      <c r="N40" s="478">
        <f t="shared" si="5"/>
        <v>0</v>
      </c>
      <c r="O40" s="478">
        <f t="shared" si="6"/>
        <v>0</v>
      </c>
      <c r="P40" s="243"/>
    </row>
    <row r="41" spans="2:16">
      <c r="B41" s="160" t="str">
        <f t="shared" si="3"/>
        <v/>
      </c>
      <c r="C41" s="472">
        <f>IF(D11="","-",+C40+1)</f>
        <v>2038</v>
      </c>
      <c r="D41" s="485">
        <f>IF(F40+SUM(E$17:E40)=D$10,F40,D$10-SUM(E$17:E40))</f>
        <v>2404349.413541262</v>
      </c>
      <c r="E41" s="484">
        <f t="shared" si="13"/>
        <v>117657.62790697675</v>
      </c>
      <c r="F41" s="485">
        <f t="shared" si="14"/>
        <v>2286691.7856342853</v>
      </c>
      <c r="G41" s="486">
        <f t="shared" si="15"/>
        <v>387524.63236492238</v>
      </c>
      <c r="H41" s="455">
        <f t="shared" si="16"/>
        <v>387524.63236492238</v>
      </c>
      <c r="I41" s="475">
        <f t="shared" si="4"/>
        <v>0</v>
      </c>
      <c r="J41" s="475"/>
      <c r="K41" s="487"/>
      <c r="L41" s="478">
        <f t="shared" si="17"/>
        <v>0</v>
      </c>
      <c r="M41" s="487"/>
      <c r="N41" s="478">
        <f t="shared" si="5"/>
        <v>0</v>
      </c>
      <c r="O41" s="478">
        <f t="shared" si="6"/>
        <v>0</v>
      </c>
      <c r="P41" s="243"/>
    </row>
    <row r="42" spans="2:16">
      <c r="B42" s="160" t="str">
        <f t="shared" si="3"/>
        <v/>
      </c>
      <c r="C42" s="472">
        <f>IF(D11="","-",+C41+1)</f>
        <v>2039</v>
      </c>
      <c r="D42" s="485">
        <f>IF(F41+SUM(E$17:E41)=D$10,F41,D$10-SUM(E$17:E41))</f>
        <v>2286691.7856342853</v>
      </c>
      <c r="E42" s="484">
        <f t="shared" si="13"/>
        <v>117657.62790697675</v>
      </c>
      <c r="F42" s="485">
        <f t="shared" si="14"/>
        <v>2169034.1577273086</v>
      </c>
      <c r="G42" s="486">
        <f t="shared" si="15"/>
        <v>373987.37688293518</v>
      </c>
      <c r="H42" s="455">
        <f t="shared" si="16"/>
        <v>373987.37688293518</v>
      </c>
      <c r="I42" s="475">
        <f t="shared" si="4"/>
        <v>0</v>
      </c>
      <c r="J42" s="475"/>
      <c r="K42" s="487"/>
      <c r="L42" s="478">
        <f t="shared" si="17"/>
        <v>0</v>
      </c>
      <c r="M42" s="487"/>
      <c r="N42" s="478">
        <f t="shared" si="5"/>
        <v>0</v>
      </c>
      <c r="O42" s="478">
        <f t="shared" si="6"/>
        <v>0</v>
      </c>
      <c r="P42" s="243"/>
    </row>
    <row r="43" spans="2:16">
      <c r="B43" s="160" t="str">
        <f t="shared" si="3"/>
        <v/>
      </c>
      <c r="C43" s="472">
        <f>IF(D11="","-",+C42+1)</f>
        <v>2040</v>
      </c>
      <c r="D43" s="485">
        <f>IF(F42+SUM(E$17:E42)=D$10,F42,D$10-SUM(E$17:E42))</f>
        <v>2169034.1577273086</v>
      </c>
      <c r="E43" s="484">
        <f t="shared" si="13"/>
        <v>117657.62790697675</v>
      </c>
      <c r="F43" s="485">
        <f t="shared" si="14"/>
        <v>2051376.5298203318</v>
      </c>
      <c r="G43" s="486">
        <f t="shared" si="15"/>
        <v>360450.12140094803</v>
      </c>
      <c r="H43" s="455">
        <f t="shared" si="16"/>
        <v>360450.12140094803</v>
      </c>
      <c r="I43" s="475">
        <f t="shared" si="4"/>
        <v>0</v>
      </c>
      <c r="J43" s="475"/>
      <c r="K43" s="487"/>
      <c r="L43" s="478">
        <f t="shared" si="17"/>
        <v>0</v>
      </c>
      <c r="M43" s="487"/>
      <c r="N43" s="478">
        <f t="shared" si="5"/>
        <v>0</v>
      </c>
      <c r="O43" s="478">
        <f t="shared" si="6"/>
        <v>0</v>
      </c>
      <c r="P43" s="243"/>
    </row>
    <row r="44" spans="2:16">
      <c r="B44" s="160" t="str">
        <f t="shared" si="3"/>
        <v/>
      </c>
      <c r="C44" s="472">
        <f>IF(D11="","-",+C43+1)</f>
        <v>2041</v>
      </c>
      <c r="D44" s="485">
        <f>IF(F43+SUM(E$17:E43)=D$10,F43,D$10-SUM(E$17:E43))</f>
        <v>2051376.5298203318</v>
      </c>
      <c r="E44" s="484">
        <f t="shared" si="13"/>
        <v>117657.62790697675</v>
      </c>
      <c r="F44" s="485">
        <f t="shared" si="14"/>
        <v>1933718.9019133551</v>
      </c>
      <c r="G44" s="486">
        <f t="shared" si="15"/>
        <v>346912.86591896089</v>
      </c>
      <c r="H44" s="455">
        <f t="shared" si="16"/>
        <v>346912.86591896089</v>
      </c>
      <c r="I44" s="475">
        <f t="shared" si="4"/>
        <v>0</v>
      </c>
      <c r="J44" s="475"/>
      <c r="K44" s="487"/>
      <c r="L44" s="478">
        <f t="shared" si="17"/>
        <v>0</v>
      </c>
      <c r="M44" s="487"/>
      <c r="N44" s="478">
        <f t="shared" si="5"/>
        <v>0</v>
      </c>
      <c r="O44" s="478">
        <f t="shared" si="6"/>
        <v>0</v>
      </c>
      <c r="P44" s="243"/>
    </row>
    <row r="45" spans="2:16">
      <c r="B45" s="160" t="str">
        <f t="shared" si="3"/>
        <v/>
      </c>
      <c r="C45" s="472">
        <f>IF(D11="","-",+C44+1)</f>
        <v>2042</v>
      </c>
      <c r="D45" s="485">
        <f>IF(F44+SUM(E$17:E44)=D$10,F44,D$10-SUM(E$17:E44))</f>
        <v>1933718.9019133551</v>
      </c>
      <c r="E45" s="484">
        <f t="shared" si="13"/>
        <v>117657.62790697675</v>
      </c>
      <c r="F45" s="485">
        <f t="shared" si="14"/>
        <v>1816061.2740063784</v>
      </c>
      <c r="G45" s="486">
        <f t="shared" si="15"/>
        <v>333375.61043697369</v>
      </c>
      <c r="H45" s="455">
        <f t="shared" si="16"/>
        <v>333375.61043697369</v>
      </c>
      <c r="I45" s="475">
        <f t="shared" si="4"/>
        <v>0</v>
      </c>
      <c r="J45" s="475"/>
      <c r="K45" s="487"/>
      <c r="L45" s="478">
        <f t="shared" si="17"/>
        <v>0</v>
      </c>
      <c r="M45" s="487"/>
      <c r="N45" s="478">
        <f t="shared" si="5"/>
        <v>0</v>
      </c>
      <c r="O45" s="478">
        <f t="shared" si="6"/>
        <v>0</v>
      </c>
      <c r="P45" s="243"/>
    </row>
    <row r="46" spans="2:16">
      <c r="B46" s="160" t="str">
        <f t="shared" si="3"/>
        <v/>
      </c>
      <c r="C46" s="472">
        <f>IF(D11="","-",+C45+1)</f>
        <v>2043</v>
      </c>
      <c r="D46" s="485">
        <f>IF(F45+SUM(E$17:E45)=D$10,F45,D$10-SUM(E$17:E45))</f>
        <v>1816061.2740063784</v>
      </c>
      <c r="E46" s="484">
        <f t="shared" si="13"/>
        <v>117657.62790697675</v>
      </c>
      <c r="F46" s="485">
        <f t="shared" si="14"/>
        <v>1698403.6460994016</v>
      </c>
      <c r="G46" s="486">
        <f t="shared" si="15"/>
        <v>319838.35495498654</v>
      </c>
      <c r="H46" s="455">
        <f t="shared" si="16"/>
        <v>319838.35495498654</v>
      </c>
      <c r="I46" s="475">
        <f t="shared" si="4"/>
        <v>0</v>
      </c>
      <c r="J46" s="475"/>
      <c r="K46" s="487"/>
      <c r="L46" s="478">
        <f t="shared" si="17"/>
        <v>0</v>
      </c>
      <c r="M46" s="487"/>
      <c r="N46" s="478">
        <f t="shared" si="5"/>
        <v>0</v>
      </c>
      <c r="O46" s="478">
        <f t="shared" si="6"/>
        <v>0</v>
      </c>
      <c r="P46" s="243"/>
    </row>
    <row r="47" spans="2:16">
      <c r="B47" s="160" t="str">
        <f t="shared" si="3"/>
        <v/>
      </c>
      <c r="C47" s="472">
        <f>IF(D11="","-",+C46+1)</f>
        <v>2044</v>
      </c>
      <c r="D47" s="485">
        <f>IF(F46+SUM(E$17:E46)=D$10,F46,D$10-SUM(E$17:E46))</f>
        <v>1698403.6460994016</v>
      </c>
      <c r="E47" s="484">
        <f t="shared" si="13"/>
        <v>117657.62790697675</v>
      </c>
      <c r="F47" s="485">
        <f t="shared" si="14"/>
        <v>1580746.0181924249</v>
      </c>
      <c r="G47" s="486">
        <f t="shared" si="15"/>
        <v>306301.0994729994</v>
      </c>
      <c r="H47" s="455">
        <f t="shared" si="16"/>
        <v>306301.0994729994</v>
      </c>
      <c r="I47" s="475">
        <f t="shared" si="4"/>
        <v>0</v>
      </c>
      <c r="J47" s="475"/>
      <c r="K47" s="487"/>
      <c r="L47" s="478">
        <f t="shared" si="17"/>
        <v>0</v>
      </c>
      <c r="M47" s="487"/>
      <c r="N47" s="478">
        <f t="shared" si="5"/>
        <v>0</v>
      </c>
      <c r="O47" s="478">
        <f t="shared" si="6"/>
        <v>0</v>
      </c>
      <c r="P47" s="243"/>
    </row>
    <row r="48" spans="2:16">
      <c r="B48" s="160" t="str">
        <f t="shared" si="3"/>
        <v/>
      </c>
      <c r="C48" s="472">
        <f>IF(D11="","-",+C47+1)</f>
        <v>2045</v>
      </c>
      <c r="D48" s="485">
        <f>IF(F47+SUM(E$17:E47)=D$10,F47,D$10-SUM(E$17:E47))</f>
        <v>1580746.0181924249</v>
      </c>
      <c r="E48" s="484">
        <f t="shared" si="13"/>
        <v>117657.62790697675</v>
      </c>
      <c r="F48" s="485">
        <f t="shared" si="14"/>
        <v>1463088.3902854482</v>
      </c>
      <c r="G48" s="486">
        <f t="shared" si="15"/>
        <v>292763.84399101225</v>
      </c>
      <c r="H48" s="455">
        <f t="shared" si="16"/>
        <v>292763.84399101225</v>
      </c>
      <c r="I48" s="475">
        <f t="shared" si="4"/>
        <v>0</v>
      </c>
      <c r="J48" s="475"/>
      <c r="K48" s="487"/>
      <c r="L48" s="478">
        <f t="shared" si="17"/>
        <v>0</v>
      </c>
      <c r="M48" s="487"/>
      <c r="N48" s="478">
        <f t="shared" si="5"/>
        <v>0</v>
      </c>
      <c r="O48" s="478">
        <f t="shared" si="6"/>
        <v>0</v>
      </c>
      <c r="P48" s="243"/>
    </row>
    <row r="49" spans="2:16">
      <c r="B49" s="160" t="str">
        <f t="shared" si="3"/>
        <v/>
      </c>
      <c r="C49" s="472">
        <f>IF(D11="","-",+C48+1)</f>
        <v>2046</v>
      </c>
      <c r="D49" s="485">
        <f>IF(F48+SUM(E$17:E48)=D$10,F48,D$10-SUM(E$17:E48))</f>
        <v>1463088.3902854482</v>
      </c>
      <c r="E49" s="484">
        <f t="shared" si="13"/>
        <v>117657.62790697675</v>
      </c>
      <c r="F49" s="485">
        <f t="shared" si="14"/>
        <v>1345430.7623784714</v>
      </c>
      <c r="G49" s="486">
        <f t="shared" si="15"/>
        <v>279226.58850902511</v>
      </c>
      <c r="H49" s="455">
        <f t="shared" si="16"/>
        <v>279226.58850902511</v>
      </c>
      <c r="I49" s="475">
        <f t="shared" si="4"/>
        <v>0</v>
      </c>
      <c r="J49" s="475"/>
      <c r="K49" s="487"/>
      <c r="L49" s="478">
        <f t="shared" si="17"/>
        <v>0</v>
      </c>
      <c r="M49" s="487"/>
      <c r="N49" s="478">
        <f t="shared" si="5"/>
        <v>0</v>
      </c>
      <c r="O49" s="478">
        <f t="shared" si="6"/>
        <v>0</v>
      </c>
      <c r="P49" s="243"/>
    </row>
    <row r="50" spans="2:16">
      <c r="B50" s="160" t="str">
        <f t="shared" si="3"/>
        <v/>
      </c>
      <c r="C50" s="472">
        <f>IF(D11="","-",+C49+1)</f>
        <v>2047</v>
      </c>
      <c r="D50" s="485">
        <f>IF(F49+SUM(E$17:E49)=D$10,F49,D$10-SUM(E$17:E49))</f>
        <v>1345430.7623784714</v>
      </c>
      <c r="E50" s="484">
        <f t="shared" si="13"/>
        <v>117657.62790697675</v>
      </c>
      <c r="F50" s="485">
        <f t="shared" si="14"/>
        <v>1227773.1344714947</v>
      </c>
      <c r="G50" s="486">
        <f t="shared" si="15"/>
        <v>265689.33302703791</v>
      </c>
      <c r="H50" s="455">
        <f t="shared" si="16"/>
        <v>265689.33302703791</v>
      </c>
      <c r="I50" s="475">
        <f t="shared" si="4"/>
        <v>0</v>
      </c>
      <c r="J50" s="475"/>
      <c r="K50" s="487"/>
      <c r="L50" s="478">
        <f t="shared" si="17"/>
        <v>0</v>
      </c>
      <c r="M50" s="487"/>
      <c r="N50" s="478">
        <f t="shared" si="5"/>
        <v>0</v>
      </c>
      <c r="O50" s="478">
        <f t="shared" si="6"/>
        <v>0</v>
      </c>
      <c r="P50" s="243"/>
    </row>
    <row r="51" spans="2:16">
      <c r="B51" s="160" t="str">
        <f t="shared" si="3"/>
        <v/>
      </c>
      <c r="C51" s="472">
        <f>IF(D11="","-",+C50+1)</f>
        <v>2048</v>
      </c>
      <c r="D51" s="485">
        <f>IF(F50+SUM(E$17:E50)=D$10,F50,D$10-SUM(E$17:E50))</f>
        <v>1227773.1344714947</v>
      </c>
      <c r="E51" s="484">
        <f t="shared" si="13"/>
        <v>117657.62790697675</v>
      </c>
      <c r="F51" s="485">
        <f t="shared" si="14"/>
        <v>1110115.506564518</v>
      </c>
      <c r="G51" s="486">
        <f t="shared" si="15"/>
        <v>252152.07754505076</v>
      </c>
      <c r="H51" s="455">
        <f t="shared" si="16"/>
        <v>252152.07754505076</v>
      </c>
      <c r="I51" s="475">
        <f t="shared" si="4"/>
        <v>0</v>
      </c>
      <c r="J51" s="475"/>
      <c r="K51" s="487"/>
      <c r="L51" s="478">
        <f t="shared" si="17"/>
        <v>0</v>
      </c>
      <c r="M51" s="487"/>
      <c r="N51" s="478">
        <f t="shared" si="5"/>
        <v>0</v>
      </c>
      <c r="O51" s="478">
        <f t="shared" si="6"/>
        <v>0</v>
      </c>
      <c r="P51" s="243"/>
    </row>
    <row r="52" spans="2:16">
      <c r="B52" s="160" t="str">
        <f t="shared" si="3"/>
        <v/>
      </c>
      <c r="C52" s="472">
        <f>IF(D11="","-",+C51+1)</f>
        <v>2049</v>
      </c>
      <c r="D52" s="485">
        <f>IF(F51+SUM(E$17:E51)=D$10,F51,D$10-SUM(E$17:E51))</f>
        <v>1110115.506564518</v>
      </c>
      <c r="E52" s="484">
        <f t="shared" si="13"/>
        <v>117657.62790697675</v>
      </c>
      <c r="F52" s="485">
        <f t="shared" si="14"/>
        <v>992457.87865754124</v>
      </c>
      <c r="G52" s="486">
        <f t="shared" si="15"/>
        <v>238614.82206306362</v>
      </c>
      <c r="H52" s="455">
        <f t="shared" si="16"/>
        <v>238614.82206306362</v>
      </c>
      <c r="I52" s="475">
        <f t="shared" si="4"/>
        <v>0</v>
      </c>
      <c r="J52" s="475"/>
      <c r="K52" s="487"/>
      <c r="L52" s="478">
        <f t="shared" si="17"/>
        <v>0</v>
      </c>
      <c r="M52" s="487"/>
      <c r="N52" s="478">
        <f t="shared" si="5"/>
        <v>0</v>
      </c>
      <c r="O52" s="478">
        <f t="shared" si="6"/>
        <v>0</v>
      </c>
      <c r="P52" s="243"/>
    </row>
    <row r="53" spans="2:16">
      <c r="B53" s="160" t="str">
        <f t="shared" si="3"/>
        <v/>
      </c>
      <c r="C53" s="472">
        <f>IF(D11="","-",+C52+1)</f>
        <v>2050</v>
      </c>
      <c r="D53" s="485">
        <f>IF(F52+SUM(E$17:E52)=D$10,F52,D$10-SUM(E$17:E52))</f>
        <v>992457.87865754124</v>
      </c>
      <c r="E53" s="484">
        <f t="shared" si="13"/>
        <v>117657.62790697675</v>
      </c>
      <c r="F53" s="485">
        <f t="shared" si="14"/>
        <v>874800.2507505645</v>
      </c>
      <c r="G53" s="486">
        <f t="shared" si="15"/>
        <v>225077.56658107645</v>
      </c>
      <c r="H53" s="455">
        <f t="shared" si="16"/>
        <v>225077.56658107645</v>
      </c>
      <c r="I53" s="475">
        <f t="shared" si="4"/>
        <v>0</v>
      </c>
      <c r="J53" s="475"/>
      <c r="K53" s="487"/>
      <c r="L53" s="478">
        <f t="shared" si="17"/>
        <v>0</v>
      </c>
      <c r="M53" s="487"/>
      <c r="N53" s="478">
        <f t="shared" si="5"/>
        <v>0</v>
      </c>
      <c r="O53" s="478">
        <f t="shared" si="6"/>
        <v>0</v>
      </c>
      <c r="P53" s="243"/>
    </row>
    <row r="54" spans="2:16">
      <c r="B54" s="160" t="str">
        <f t="shared" si="3"/>
        <v/>
      </c>
      <c r="C54" s="472">
        <f>IF(D11="","-",+C53+1)</f>
        <v>2051</v>
      </c>
      <c r="D54" s="485">
        <f>IF(F53+SUM(E$17:E53)=D$10,F53,D$10-SUM(E$17:E53))</f>
        <v>874800.2507505645</v>
      </c>
      <c r="E54" s="484">
        <f t="shared" si="13"/>
        <v>117657.62790697675</v>
      </c>
      <c r="F54" s="485">
        <f t="shared" si="14"/>
        <v>757142.62284358777</v>
      </c>
      <c r="G54" s="486">
        <f t="shared" si="15"/>
        <v>211540.31109908927</v>
      </c>
      <c r="H54" s="455">
        <f t="shared" si="16"/>
        <v>211540.31109908927</v>
      </c>
      <c r="I54" s="475">
        <f t="shared" si="4"/>
        <v>0</v>
      </c>
      <c r="J54" s="475"/>
      <c r="K54" s="487"/>
      <c r="L54" s="478">
        <f t="shared" si="17"/>
        <v>0</v>
      </c>
      <c r="M54" s="487"/>
      <c r="N54" s="478">
        <f t="shared" si="5"/>
        <v>0</v>
      </c>
      <c r="O54" s="478">
        <f t="shared" si="6"/>
        <v>0</v>
      </c>
      <c r="P54" s="243"/>
    </row>
    <row r="55" spans="2:16">
      <c r="B55" s="160" t="str">
        <f t="shared" si="3"/>
        <v/>
      </c>
      <c r="C55" s="472">
        <f>IF(D11="","-",+C54+1)</f>
        <v>2052</v>
      </c>
      <c r="D55" s="485">
        <f>IF(F54+SUM(E$17:E54)=D$10,F54,D$10-SUM(E$17:E54))</f>
        <v>757142.62284358777</v>
      </c>
      <c r="E55" s="484">
        <f t="shared" si="13"/>
        <v>117657.62790697675</v>
      </c>
      <c r="F55" s="485">
        <f t="shared" si="14"/>
        <v>639484.99493661104</v>
      </c>
      <c r="G55" s="486">
        <f t="shared" si="15"/>
        <v>198003.05561710213</v>
      </c>
      <c r="H55" s="455">
        <f t="shared" si="16"/>
        <v>198003.05561710213</v>
      </c>
      <c r="I55" s="475">
        <f t="shared" si="4"/>
        <v>0</v>
      </c>
      <c r="J55" s="475"/>
      <c r="K55" s="487"/>
      <c r="L55" s="478">
        <f t="shared" si="17"/>
        <v>0</v>
      </c>
      <c r="M55" s="487"/>
      <c r="N55" s="478">
        <f t="shared" si="5"/>
        <v>0</v>
      </c>
      <c r="O55" s="478">
        <f t="shared" si="6"/>
        <v>0</v>
      </c>
      <c r="P55" s="243"/>
    </row>
    <row r="56" spans="2:16">
      <c r="B56" s="160" t="str">
        <f t="shared" si="3"/>
        <v/>
      </c>
      <c r="C56" s="472">
        <f>IF(D11="","-",+C55+1)</f>
        <v>2053</v>
      </c>
      <c r="D56" s="485">
        <f>IF(F55+SUM(E$17:E55)=D$10,F55,D$10-SUM(E$17:E55))</f>
        <v>639484.99493661104</v>
      </c>
      <c r="E56" s="484">
        <f t="shared" si="13"/>
        <v>117657.62790697675</v>
      </c>
      <c r="F56" s="485">
        <f t="shared" si="14"/>
        <v>521827.3670296343</v>
      </c>
      <c r="G56" s="486">
        <f t="shared" si="15"/>
        <v>184465.80013511499</v>
      </c>
      <c r="H56" s="455">
        <f t="shared" si="16"/>
        <v>184465.80013511499</v>
      </c>
      <c r="I56" s="475">
        <f t="shared" si="4"/>
        <v>0</v>
      </c>
      <c r="J56" s="475"/>
      <c r="K56" s="487"/>
      <c r="L56" s="478">
        <f t="shared" si="17"/>
        <v>0</v>
      </c>
      <c r="M56" s="487"/>
      <c r="N56" s="478">
        <f t="shared" si="5"/>
        <v>0</v>
      </c>
      <c r="O56" s="478">
        <f t="shared" si="6"/>
        <v>0</v>
      </c>
      <c r="P56" s="243"/>
    </row>
    <row r="57" spans="2:16">
      <c r="B57" s="160" t="str">
        <f t="shared" si="3"/>
        <v/>
      </c>
      <c r="C57" s="472">
        <f>IF(D11="","-",+C56+1)</f>
        <v>2054</v>
      </c>
      <c r="D57" s="485">
        <f>IF(F56+SUM(E$17:E56)=D$10,F56,D$10-SUM(E$17:E56))</f>
        <v>521827.3670296343</v>
      </c>
      <c r="E57" s="484">
        <f t="shared" si="13"/>
        <v>117657.62790697675</v>
      </c>
      <c r="F57" s="485">
        <f t="shared" si="14"/>
        <v>404169.73912265757</v>
      </c>
      <c r="G57" s="486">
        <f t="shared" si="15"/>
        <v>170928.54465312781</v>
      </c>
      <c r="H57" s="455">
        <f t="shared" si="16"/>
        <v>170928.54465312781</v>
      </c>
      <c r="I57" s="475">
        <f t="shared" si="4"/>
        <v>0</v>
      </c>
      <c r="J57" s="475"/>
      <c r="K57" s="487"/>
      <c r="L57" s="478">
        <f t="shared" si="17"/>
        <v>0</v>
      </c>
      <c r="M57" s="487"/>
      <c r="N57" s="478">
        <f t="shared" si="5"/>
        <v>0</v>
      </c>
      <c r="O57" s="478">
        <f t="shared" si="6"/>
        <v>0</v>
      </c>
      <c r="P57" s="243"/>
    </row>
    <row r="58" spans="2:16">
      <c r="B58" s="160" t="str">
        <f t="shared" si="3"/>
        <v/>
      </c>
      <c r="C58" s="472">
        <f>IF(D11="","-",+C57+1)</f>
        <v>2055</v>
      </c>
      <c r="D58" s="485">
        <f>IF(F57+SUM(E$17:E57)=D$10,F57,D$10-SUM(E$17:E57))</f>
        <v>404169.73912265757</v>
      </c>
      <c r="E58" s="484">
        <f t="shared" si="13"/>
        <v>117657.62790697675</v>
      </c>
      <c r="F58" s="485">
        <f t="shared" si="14"/>
        <v>286512.11121568084</v>
      </c>
      <c r="G58" s="486">
        <f t="shared" si="15"/>
        <v>157391.28917114067</v>
      </c>
      <c r="H58" s="455">
        <f t="shared" si="16"/>
        <v>157391.28917114067</v>
      </c>
      <c r="I58" s="475">
        <f t="shared" si="4"/>
        <v>0</v>
      </c>
      <c r="J58" s="475"/>
      <c r="K58" s="487"/>
      <c r="L58" s="478">
        <f t="shared" si="17"/>
        <v>0</v>
      </c>
      <c r="M58" s="487"/>
      <c r="N58" s="478">
        <f t="shared" si="5"/>
        <v>0</v>
      </c>
      <c r="O58" s="478">
        <f t="shared" si="6"/>
        <v>0</v>
      </c>
      <c r="P58" s="243"/>
    </row>
    <row r="59" spans="2:16">
      <c r="B59" s="160" t="str">
        <f t="shared" si="3"/>
        <v/>
      </c>
      <c r="C59" s="472">
        <f>IF(D11="","-",+C58+1)</f>
        <v>2056</v>
      </c>
      <c r="D59" s="485">
        <f>IF(F58+SUM(E$17:E58)=D$10,F58,D$10-SUM(E$17:E58))</f>
        <v>286512.11121568084</v>
      </c>
      <c r="E59" s="484">
        <f t="shared" si="13"/>
        <v>117657.62790697675</v>
      </c>
      <c r="F59" s="485">
        <f t="shared" si="14"/>
        <v>168854.4833087041</v>
      </c>
      <c r="G59" s="486">
        <f t="shared" si="15"/>
        <v>143854.0336891535</v>
      </c>
      <c r="H59" s="455">
        <f t="shared" si="16"/>
        <v>143854.0336891535</v>
      </c>
      <c r="I59" s="475">
        <f t="shared" si="4"/>
        <v>0</v>
      </c>
      <c r="J59" s="475"/>
      <c r="K59" s="487"/>
      <c r="L59" s="478">
        <f t="shared" si="17"/>
        <v>0</v>
      </c>
      <c r="M59" s="487"/>
      <c r="N59" s="478">
        <f t="shared" si="5"/>
        <v>0</v>
      </c>
      <c r="O59" s="478">
        <f t="shared" si="6"/>
        <v>0</v>
      </c>
      <c r="P59" s="243"/>
    </row>
    <row r="60" spans="2:16">
      <c r="B60" s="160" t="str">
        <f t="shared" si="3"/>
        <v/>
      </c>
      <c r="C60" s="472">
        <f>IF(D11="","-",+C59+1)</f>
        <v>2057</v>
      </c>
      <c r="D60" s="485">
        <f>IF(F59+SUM(E$17:E59)=D$10,F59,D$10-SUM(E$17:E59))</f>
        <v>168854.4833087041</v>
      </c>
      <c r="E60" s="484">
        <f t="shared" si="13"/>
        <v>117657.62790697675</v>
      </c>
      <c r="F60" s="485">
        <f t="shared" si="14"/>
        <v>51196.855401727356</v>
      </c>
      <c r="G60" s="486">
        <f t="shared" si="15"/>
        <v>130316.77820716635</v>
      </c>
      <c r="H60" s="455">
        <f t="shared" si="16"/>
        <v>130316.77820716635</v>
      </c>
      <c r="I60" s="475">
        <f t="shared" si="4"/>
        <v>0</v>
      </c>
      <c r="J60" s="475"/>
      <c r="K60" s="487"/>
      <c r="L60" s="478">
        <f t="shared" si="17"/>
        <v>0</v>
      </c>
      <c r="M60" s="487"/>
      <c r="N60" s="478">
        <f t="shared" si="5"/>
        <v>0</v>
      </c>
      <c r="O60" s="478">
        <f t="shared" si="6"/>
        <v>0</v>
      </c>
      <c r="P60" s="243"/>
    </row>
    <row r="61" spans="2:16">
      <c r="B61" s="160" t="str">
        <f t="shared" si="3"/>
        <v/>
      </c>
      <c r="C61" s="472">
        <f>IF(D11="","-",+C60+1)</f>
        <v>2058</v>
      </c>
      <c r="D61" s="485">
        <f>IF(F60+SUM(E$17:E60)=D$10,F60,D$10-SUM(E$17:E60))</f>
        <v>51196.855401727356</v>
      </c>
      <c r="E61" s="484">
        <f t="shared" si="13"/>
        <v>51196.855401727356</v>
      </c>
      <c r="F61" s="485">
        <f t="shared" si="14"/>
        <v>0</v>
      </c>
      <c r="G61" s="486">
        <f t="shared" si="15"/>
        <v>54142.116681325366</v>
      </c>
      <c r="H61" s="455">
        <f t="shared" si="16"/>
        <v>54142.116681325366</v>
      </c>
      <c r="I61" s="475">
        <f t="shared" si="4"/>
        <v>0</v>
      </c>
      <c r="J61" s="475"/>
      <c r="K61" s="487"/>
      <c r="L61" s="478">
        <f t="shared" si="17"/>
        <v>0</v>
      </c>
      <c r="M61" s="487"/>
      <c r="N61" s="478">
        <f t="shared" si="5"/>
        <v>0</v>
      </c>
      <c r="O61" s="478">
        <f t="shared" si="6"/>
        <v>0</v>
      </c>
      <c r="P61" s="243"/>
    </row>
    <row r="62" spans="2:16">
      <c r="B62" s="160" t="str">
        <f t="shared" si="3"/>
        <v/>
      </c>
      <c r="C62" s="472">
        <f>IF(D11="","-",+C61+1)</f>
        <v>2059</v>
      </c>
      <c r="D62" s="485">
        <f>IF(F61+SUM(E$17:E61)=D$10,F61,D$10-SUM(E$17:E61))</f>
        <v>0</v>
      </c>
      <c r="E62" s="484">
        <f t="shared" si="13"/>
        <v>0</v>
      </c>
      <c r="F62" s="485">
        <f t="shared" si="14"/>
        <v>0</v>
      </c>
      <c r="G62" s="486">
        <f t="shared" si="15"/>
        <v>0</v>
      </c>
      <c r="H62" s="455">
        <f t="shared" si="16"/>
        <v>0</v>
      </c>
      <c r="I62" s="475">
        <f t="shared" si="4"/>
        <v>0</v>
      </c>
      <c r="J62" s="475"/>
      <c r="K62" s="487"/>
      <c r="L62" s="478">
        <f t="shared" si="17"/>
        <v>0</v>
      </c>
      <c r="M62" s="487"/>
      <c r="N62" s="478">
        <f t="shared" si="5"/>
        <v>0</v>
      </c>
      <c r="O62" s="478">
        <f t="shared" si="6"/>
        <v>0</v>
      </c>
      <c r="P62" s="243"/>
    </row>
    <row r="63" spans="2:16">
      <c r="B63" s="160" t="str">
        <f t="shared" si="3"/>
        <v/>
      </c>
      <c r="C63" s="472">
        <f>IF(D11="","-",+C62+1)</f>
        <v>2060</v>
      </c>
      <c r="D63" s="485">
        <f>IF(F62+SUM(E$17:E62)=D$10,F62,D$10-SUM(E$17:E62))</f>
        <v>0</v>
      </c>
      <c r="E63" s="484">
        <f t="shared" si="13"/>
        <v>0</v>
      </c>
      <c r="F63" s="485">
        <f t="shared" si="14"/>
        <v>0</v>
      </c>
      <c r="G63" s="486">
        <f t="shared" si="15"/>
        <v>0</v>
      </c>
      <c r="H63" s="455">
        <f t="shared" si="16"/>
        <v>0</v>
      </c>
      <c r="I63" s="475">
        <f t="shared" si="4"/>
        <v>0</v>
      </c>
      <c r="J63" s="475"/>
      <c r="K63" s="487"/>
      <c r="L63" s="478">
        <f t="shared" si="17"/>
        <v>0</v>
      </c>
      <c r="M63" s="487"/>
      <c r="N63" s="478">
        <f t="shared" si="5"/>
        <v>0</v>
      </c>
      <c r="O63" s="478">
        <f t="shared" si="6"/>
        <v>0</v>
      </c>
      <c r="P63" s="243"/>
    </row>
    <row r="64" spans="2:16">
      <c r="B64" s="160" t="str">
        <f t="shared" si="3"/>
        <v/>
      </c>
      <c r="C64" s="472">
        <f>IF(D11="","-",+C63+1)</f>
        <v>2061</v>
      </c>
      <c r="D64" s="485">
        <f>IF(F63+SUM(E$17:E63)=D$10,F63,D$10-SUM(E$17:E63))</f>
        <v>0</v>
      </c>
      <c r="E64" s="484">
        <f t="shared" si="13"/>
        <v>0</v>
      </c>
      <c r="F64" s="485">
        <f t="shared" si="14"/>
        <v>0</v>
      </c>
      <c r="G64" s="486">
        <f t="shared" si="15"/>
        <v>0</v>
      </c>
      <c r="H64" s="455">
        <f t="shared" si="16"/>
        <v>0</v>
      </c>
      <c r="I64" s="475">
        <f t="shared" si="4"/>
        <v>0</v>
      </c>
      <c r="J64" s="475"/>
      <c r="K64" s="487"/>
      <c r="L64" s="478">
        <f t="shared" si="17"/>
        <v>0</v>
      </c>
      <c r="M64" s="487"/>
      <c r="N64" s="478">
        <f t="shared" si="5"/>
        <v>0</v>
      </c>
      <c r="O64" s="478">
        <f t="shared" si="6"/>
        <v>0</v>
      </c>
      <c r="P64" s="243"/>
    </row>
    <row r="65" spans="2:16">
      <c r="B65" s="160" t="str">
        <f t="shared" si="3"/>
        <v/>
      </c>
      <c r="C65" s="472">
        <f>IF(D11="","-",+C64+1)</f>
        <v>2062</v>
      </c>
      <c r="D65" s="485">
        <f>IF(F64+SUM(E$17:E64)=D$10,F64,D$10-SUM(E$17:E64))</f>
        <v>0</v>
      </c>
      <c r="E65" s="484">
        <f t="shared" si="13"/>
        <v>0</v>
      </c>
      <c r="F65" s="485">
        <f t="shared" si="14"/>
        <v>0</v>
      </c>
      <c r="G65" s="486">
        <f t="shared" si="15"/>
        <v>0</v>
      </c>
      <c r="H65" s="455">
        <f t="shared" si="16"/>
        <v>0</v>
      </c>
      <c r="I65" s="475">
        <f t="shared" si="4"/>
        <v>0</v>
      </c>
      <c r="J65" s="475"/>
      <c r="K65" s="487"/>
      <c r="L65" s="478">
        <f t="shared" si="17"/>
        <v>0</v>
      </c>
      <c r="M65" s="487"/>
      <c r="N65" s="478">
        <f t="shared" si="5"/>
        <v>0</v>
      </c>
      <c r="O65" s="478">
        <f t="shared" si="6"/>
        <v>0</v>
      </c>
      <c r="P65" s="243"/>
    </row>
    <row r="66" spans="2:16">
      <c r="B66" s="160" t="str">
        <f t="shared" si="3"/>
        <v/>
      </c>
      <c r="C66" s="472">
        <f>IF(D11="","-",+C65+1)</f>
        <v>2063</v>
      </c>
      <c r="D66" s="485">
        <f>IF(F65+SUM(E$17:E65)=D$10,F65,D$10-SUM(E$17:E65))</f>
        <v>0</v>
      </c>
      <c r="E66" s="484">
        <f t="shared" si="13"/>
        <v>0</v>
      </c>
      <c r="F66" s="485">
        <f t="shared" si="14"/>
        <v>0</v>
      </c>
      <c r="G66" s="486">
        <f t="shared" si="15"/>
        <v>0</v>
      </c>
      <c r="H66" s="455">
        <f t="shared" si="16"/>
        <v>0</v>
      </c>
      <c r="I66" s="475">
        <f t="shared" si="4"/>
        <v>0</v>
      </c>
      <c r="J66" s="475"/>
      <c r="K66" s="487"/>
      <c r="L66" s="478">
        <f t="shared" si="17"/>
        <v>0</v>
      </c>
      <c r="M66" s="487"/>
      <c r="N66" s="478">
        <f t="shared" si="5"/>
        <v>0</v>
      </c>
      <c r="O66" s="478">
        <f t="shared" si="6"/>
        <v>0</v>
      </c>
      <c r="P66" s="243"/>
    </row>
    <row r="67" spans="2:16">
      <c r="B67" s="160" t="str">
        <f t="shared" si="3"/>
        <v/>
      </c>
      <c r="C67" s="472">
        <f>IF(D11="","-",+C66+1)</f>
        <v>2064</v>
      </c>
      <c r="D67" s="485">
        <f>IF(F66+SUM(E$17:E66)=D$10,F66,D$10-SUM(E$17:E66))</f>
        <v>0</v>
      </c>
      <c r="E67" s="484">
        <f t="shared" si="13"/>
        <v>0</v>
      </c>
      <c r="F67" s="485">
        <f t="shared" si="14"/>
        <v>0</v>
      </c>
      <c r="G67" s="486">
        <f t="shared" si="15"/>
        <v>0</v>
      </c>
      <c r="H67" s="455">
        <f t="shared" si="16"/>
        <v>0</v>
      </c>
      <c r="I67" s="475">
        <f t="shared" si="4"/>
        <v>0</v>
      </c>
      <c r="J67" s="475"/>
      <c r="K67" s="487"/>
      <c r="L67" s="478">
        <f t="shared" si="17"/>
        <v>0</v>
      </c>
      <c r="M67" s="487"/>
      <c r="N67" s="478">
        <f t="shared" si="5"/>
        <v>0</v>
      </c>
      <c r="O67" s="478">
        <f t="shared" si="6"/>
        <v>0</v>
      </c>
      <c r="P67" s="243"/>
    </row>
    <row r="68" spans="2:16">
      <c r="B68" s="160" t="str">
        <f t="shared" si="3"/>
        <v/>
      </c>
      <c r="C68" s="472">
        <f>IF(D11="","-",+C67+1)</f>
        <v>2065</v>
      </c>
      <c r="D68" s="485">
        <f>IF(F67+SUM(E$17:E67)=D$10,F67,D$10-SUM(E$17:E67))</f>
        <v>0</v>
      </c>
      <c r="E68" s="484">
        <f t="shared" si="13"/>
        <v>0</v>
      </c>
      <c r="F68" s="485">
        <f t="shared" si="14"/>
        <v>0</v>
      </c>
      <c r="G68" s="486">
        <f t="shared" si="15"/>
        <v>0</v>
      </c>
      <c r="H68" s="455">
        <f t="shared" si="16"/>
        <v>0</v>
      </c>
      <c r="I68" s="475">
        <f t="shared" si="4"/>
        <v>0</v>
      </c>
      <c r="J68" s="475"/>
      <c r="K68" s="487"/>
      <c r="L68" s="478">
        <f t="shared" si="17"/>
        <v>0</v>
      </c>
      <c r="M68" s="487"/>
      <c r="N68" s="478">
        <f t="shared" si="5"/>
        <v>0</v>
      </c>
      <c r="O68" s="478">
        <f t="shared" si="6"/>
        <v>0</v>
      </c>
      <c r="P68" s="243"/>
    </row>
    <row r="69" spans="2:16">
      <c r="B69" s="160" t="str">
        <f t="shared" si="3"/>
        <v/>
      </c>
      <c r="C69" s="472">
        <f>IF(D11="","-",+C68+1)</f>
        <v>2066</v>
      </c>
      <c r="D69" s="485">
        <f>IF(F68+SUM(E$17:E68)=D$10,F68,D$10-SUM(E$17:E68))</f>
        <v>0</v>
      </c>
      <c r="E69" s="484">
        <f t="shared" si="13"/>
        <v>0</v>
      </c>
      <c r="F69" s="485">
        <f t="shared" si="14"/>
        <v>0</v>
      </c>
      <c r="G69" s="486">
        <f t="shared" si="15"/>
        <v>0</v>
      </c>
      <c r="H69" s="455">
        <f t="shared" si="16"/>
        <v>0</v>
      </c>
      <c r="I69" s="475">
        <f t="shared" si="4"/>
        <v>0</v>
      </c>
      <c r="J69" s="475"/>
      <c r="K69" s="487"/>
      <c r="L69" s="478">
        <f t="shared" si="17"/>
        <v>0</v>
      </c>
      <c r="M69" s="487"/>
      <c r="N69" s="478">
        <f t="shared" si="5"/>
        <v>0</v>
      </c>
      <c r="O69" s="478">
        <f t="shared" si="6"/>
        <v>0</v>
      </c>
      <c r="P69" s="243"/>
    </row>
    <row r="70" spans="2:16">
      <c r="B70" s="160" t="str">
        <f t="shared" si="3"/>
        <v/>
      </c>
      <c r="C70" s="472">
        <f>IF(D11="","-",+C69+1)</f>
        <v>2067</v>
      </c>
      <c r="D70" s="485">
        <f>IF(F69+SUM(E$17:E69)=D$10,F69,D$10-SUM(E$17:E69))</f>
        <v>0</v>
      </c>
      <c r="E70" s="484">
        <f t="shared" si="13"/>
        <v>0</v>
      </c>
      <c r="F70" s="485">
        <f t="shared" si="14"/>
        <v>0</v>
      </c>
      <c r="G70" s="486">
        <f t="shared" si="15"/>
        <v>0</v>
      </c>
      <c r="H70" s="455">
        <f t="shared" si="16"/>
        <v>0</v>
      </c>
      <c r="I70" s="475">
        <f t="shared" si="4"/>
        <v>0</v>
      </c>
      <c r="J70" s="475"/>
      <c r="K70" s="487"/>
      <c r="L70" s="478">
        <f t="shared" si="17"/>
        <v>0</v>
      </c>
      <c r="M70" s="487"/>
      <c r="N70" s="478">
        <f t="shared" si="5"/>
        <v>0</v>
      </c>
      <c r="O70" s="478">
        <f t="shared" si="6"/>
        <v>0</v>
      </c>
      <c r="P70" s="243"/>
    </row>
    <row r="71" spans="2:16">
      <c r="B71" s="160" t="str">
        <f t="shared" si="3"/>
        <v/>
      </c>
      <c r="C71" s="472">
        <f>IF(D11="","-",+C70+1)</f>
        <v>2068</v>
      </c>
      <c r="D71" s="485">
        <f>IF(F70+SUM(E$17:E70)=D$10,F70,D$10-SUM(E$17:E70))</f>
        <v>0</v>
      </c>
      <c r="E71" s="484">
        <f t="shared" si="13"/>
        <v>0</v>
      </c>
      <c r="F71" s="485">
        <f t="shared" si="14"/>
        <v>0</v>
      </c>
      <c r="G71" s="486">
        <f t="shared" si="15"/>
        <v>0</v>
      </c>
      <c r="H71" s="455">
        <f t="shared" si="16"/>
        <v>0</v>
      </c>
      <c r="I71" s="475">
        <f t="shared" si="4"/>
        <v>0</v>
      </c>
      <c r="J71" s="475"/>
      <c r="K71" s="487"/>
      <c r="L71" s="478">
        <f t="shared" si="17"/>
        <v>0</v>
      </c>
      <c r="M71" s="487"/>
      <c r="N71" s="478">
        <f t="shared" si="5"/>
        <v>0</v>
      </c>
      <c r="O71" s="478">
        <f t="shared" si="6"/>
        <v>0</v>
      </c>
      <c r="P71" s="243"/>
    </row>
    <row r="72" spans="2:16" ht="13.5" thickBot="1">
      <c r="B72" s="160" t="str">
        <f t="shared" si="3"/>
        <v/>
      </c>
      <c r="C72" s="489">
        <f>IF(D11="","-",+C71+1)</f>
        <v>2069</v>
      </c>
      <c r="D72" s="490">
        <f>IF(F71+SUM(E$17:E71)=D$10,F71,D$10-SUM(E$17:E71))</f>
        <v>0</v>
      </c>
      <c r="E72" s="491">
        <f t="shared" si="13"/>
        <v>0</v>
      </c>
      <c r="F72" s="490">
        <f t="shared" si="14"/>
        <v>0</v>
      </c>
      <c r="G72" s="490">
        <f t="shared" si="15"/>
        <v>0</v>
      </c>
      <c r="H72" s="490">
        <f t="shared" si="16"/>
        <v>0</v>
      </c>
      <c r="I72" s="495">
        <f t="shared" si="4"/>
        <v>0</v>
      </c>
      <c r="J72" s="490"/>
      <c r="K72" s="494"/>
      <c r="L72" s="495">
        <f t="shared" si="17"/>
        <v>0</v>
      </c>
      <c r="M72" s="494"/>
      <c r="N72" s="495">
        <f t="shared" si="5"/>
        <v>0</v>
      </c>
      <c r="O72" s="495">
        <f t="shared" si="6"/>
        <v>0</v>
      </c>
      <c r="P72" s="243"/>
    </row>
    <row r="73" spans="2:16">
      <c r="C73" s="347" t="s">
        <v>77</v>
      </c>
      <c r="D73" s="348"/>
      <c r="E73" s="348">
        <f>SUM(E17:E72)</f>
        <v>5059278.0000000037</v>
      </c>
      <c r="F73" s="348"/>
      <c r="G73" s="348">
        <f>SUM(G17:G72)</f>
        <v>18919060.827132799</v>
      </c>
      <c r="H73" s="348">
        <f>SUM(H17:H72)</f>
        <v>18919060.827132799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16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578359.62790697673</v>
      </c>
      <c r="N87" s="508">
        <f>IF(J92&lt;D11,0,VLOOKUP(J92,C17:O72,11))</f>
        <v>578359.62790697673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615138.04650435934</v>
      </c>
      <c r="N88" s="512">
        <f>IF(J92&lt;D11,0,VLOOKUP(J92,C99:P154,7))</f>
        <v>615138.04650435934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Cornville Station Conversion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36778.41859738261</v>
      </c>
      <c r="N89" s="517">
        <f>+N88-N87</f>
        <v>36778.41859738261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TP2011093</v>
      </c>
      <c r="E91" s="522" t="str">
        <f>E9</f>
        <v xml:space="preserve">  SPP Project ID = 30346</v>
      </c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5059278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2014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12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123397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2014</v>
      </c>
      <c r="D99" s="584">
        <v>0</v>
      </c>
      <c r="E99" s="585">
        <v>0</v>
      </c>
      <c r="F99" s="586">
        <v>4992922.66</v>
      </c>
      <c r="G99" s="605">
        <v>2496461.33</v>
      </c>
      <c r="H99" s="606">
        <v>350992.25806989282</v>
      </c>
      <c r="I99" s="607">
        <v>350992.25806989282</v>
      </c>
      <c r="J99" s="478">
        <v>0</v>
      </c>
      <c r="K99" s="478"/>
      <c r="L99" s="476">
        <f t="shared" ref="L99:L104" si="18">H99</f>
        <v>350992.25806989282</v>
      </c>
      <c r="M99" s="349">
        <f t="shared" ref="M99:M104" si="19">IF(L99&lt;&gt;0,+H99-L99,0)</f>
        <v>0</v>
      </c>
      <c r="N99" s="476">
        <f t="shared" ref="N99:N104" si="20">I99</f>
        <v>350992.25806989282</v>
      </c>
      <c r="O99" s="475">
        <f>IF(N99&lt;&gt;0,+I99-N99,0)</f>
        <v>0</v>
      </c>
      <c r="P99" s="478">
        <f>+O99-M99</f>
        <v>0</v>
      </c>
    </row>
    <row r="100" spans="1:16">
      <c r="B100" s="160" t="str">
        <f>IF(D100=F99,"","IU")</f>
        <v>IU</v>
      </c>
      <c r="C100" s="472">
        <f>IF(D93="","-",+C99+1)</f>
        <v>2015</v>
      </c>
      <c r="D100" s="584">
        <v>5071338</v>
      </c>
      <c r="E100" s="585">
        <v>97526</v>
      </c>
      <c r="F100" s="586">
        <v>4973812</v>
      </c>
      <c r="G100" s="586">
        <v>5022575</v>
      </c>
      <c r="H100" s="606">
        <v>782815.97525692882</v>
      </c>
      <c r="I100" s="607">
        <v>782815.97525692882</v>
      </c>
      <c r="J100" s="478">
        <f>+I100-H100</f>
        <v>0</v>
      </c>
      <c r="K100" s="478"/>
      <c r="L100" s="476">
        <f t="shared" si="18"/>
        <v>782815.97525692882</v>
      </c>
      <c r="M100" s="349">
        <f t="shared" si="19"/>
        <v>0</v>
      </c>
      <c r="N100" s="476">
        <f t="shared" si="20"/>
        <v>782815.97525692882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21">IF(D101=F100,"","IU")</f>
        <v>IU</v>
      </c>
      <c r="C101" s="472">
        <f>IF(D93="","-",+C100+1)</f>
        <v>2016</v>
      </c>
      <c r="D101" s="584">
        <v>4961752</v>
      </c>
      <c r="E101" s="585">
        <v>109984</v>
      </c>
      <c r="F101" s="586">
        <v>4851768</v>
      </c>
      <c r="G101" s="586">
        <v>4906760</v>
      </c>
      <c r="H101" s="606">
        <v>742542.63994670648</v>
      </c>
      <c r="I101" s="607">
        <v>742542.63994670648</v>
      </c>
      <c r="J101" s="478">
        <f t="shared" ref="J101:J154" si="22">+I101-H101</f>
        <v>0</v>
      </c>
      <c r="K101" s="478"/>
      <c r="L101" s="476">
        <f t="shared" si="18"/>
        <v>742542.63994670648</v>
      </c>
      <c r="M101" s="349">
        <f t="shared" si="19"/>
        <v>0</v>
      </c>
      <c r="N101" s="476">
        <f t="shared" si="20"/>
        <v>742542.63994670648</v>
      </c>
      <c r="O101" s="475">
        <f>IF(N101&lt;&gt;0,+I101-N101,0)</f>
        <v>0</v>
      </c>
      <c r="P101" s="478">
        <f>+O101-M101</f>
        <v>0</v>
      </c>
    </row>
    <row r="102" spans="1:16">
      <c r="B102" s="160" t="str">
        <f t="shared" si="21"/>
        <v/>
      </c>
      <c r="C102" s="472">
        <f>IF(D93="","-",+C101+1)</f>
        <v>2017</v>
      </c>
      <c r="D102" s="584">
        <v>4851768</v>
      </c>
      <c r="E102" s="585">
        <v>109984</v>
      </c>
      <c r="F102" s="586">
        <v>4741784</v>
      </c>
      <c r="G102" s="586">
        <v>4796776</v>
      </c>
      <c r="H102" s="606">
        <v>718467.13067498105</v>
      </c>
      <c r="I102" s="607">
        <v>718467.13067498105</v>
      </c>
      <c r="J102" s="478">
        <f t="shared" si="22"/>
        <v>0</v>
      </c>
      <c r="K102" s="478"/>
      <c r="L102" s="476">
        <f t="shared" si="18"/>
        <v>718467.13067498105</v>
      </c>
      <c r="M102" s="349">
        <f t="shared" si="19"/>
        <v>0</v>
      </c>
      <c r="N102" s="476">
        <f t="shared" si="20"/>
        <v>718467.13067498105</v>
      </c>
      <c r="O102" s="475">
        <f>IF(N102&lt;&gt;0,+I102-N102,0)</f>
        <v>0</v>
      </c>
      <c r="P102" s="478">
        <f>+O102-M102</f>
        <v>0</v>
      </c>
    </row>
    <row r="103" spans="1:16">
      <c r="B103" s="160" t="str">
        <f t="shared" si="21"/>
        <v/>
      </c>
      <c r="C103" s="472">
        <f>IF(D93="","-",+C102+1)</f>
        <v>2018</v>
      </c>
      <c r="D103" s="584">
        <v>4741784</v>
      </c>
      <c r="E103" s="585">
        <v>117658</v>
      </c>
      <c r="F103" s="586">
        <v>4624126</v>
      </c>
      <c r="G103" s="586">
        <v>4682955</v>
      </c>
      <c r="H103" s="606">
        <v>598764.03634994966</v>
      </c>
      <c r="I103" s="607">
        <v>598764.03634994966</v>
      </c>
      <c r="J103" s="478">
        <f t="shared" si="22"/>
        <v>0</v>
      </c>
      <c r="K103" s="478"/>
      <c r="L103" s="476">
        <f t="shared" si="18"/>
        <v>598764.03634994966</v>
      </c>
      <c r="M103" s="349">
        <f t="shared" si="19"/>
        <v>0</v>
      </c>
      <c r="N103" s="476">
        <f t="shared" si="20"/>
        <v>598764.03634994966</v>
      </c>
      <c r="O103" s="475">
        <f>IF(N103&lt;&gt;0,+I103-N103,0)</f>
        <v>0</v>
      </c>
      <c r="P103" s="478">
        <f>+O103-M103</f>
        <v>0</v>
      </c>
    </row>
    <row r="104" spans="1:16">
      <c r="B104" s="160" t="str">
        <f t="shared" si="21"/>
        <v/>
      </c>
      <c r="C104" s="472">
        <f>IF(D93="","-",+C103+1)</f>
        <v>2019</v>
      </c>
      <c r="D104" s="584">
        <v>4624126</v>
      </c>
      <c r="E104" s="585">
        <v>123397</v>
      </c>
      <c r="F104" s="586">
        <v>4500729</v>
      </c>
      <c r="G104" s="586">
        <v>4562427.5</v>
      </c>
      <c r="H104" s="606">
        <v>593847.268225985</v>
      </c>
      <c r="I104" s="607">
        <v>593847.268225985</v>
      </c>
      <c r="J104" s="478">
        <f t="shared" si="22"/>
        <v>0</v>
      </c>
      <c r="K104" s="478"/>
      <c r="L104" s="476">
        <f t="shared" si="18"/>
        <v>593847.268225985</v>
      </c>
      <c r="M104" s="349">
        <f t="shared" si="19"/>
        <v>0</v>
      </c>
      <c r="N104" s="476">
        <f t="shared" si="20"/>
        <v>593847.268225985</v>
      </c>
      <c r="O104" s="478">
        <f t="shared" ref="O104:O130" si="23">IF(N104&lt;&gt;0,+I104-N104,0)</f>
        <v>0</v>
      </c>
      <c r="P104" s="478">
        <f t="shared" ref="P104:P130" si="24">+O104-M104</f>
        <v>0</v>
      </c>
    </row>
    <row r="105" spans="1:16">
      <c r="B105" s="160" t="str">
        <f t="shared" si="21"/>
        <v/>
      </c>
      <c r="C105" s="472">
        <f>IF(D93="","-",+C104+1)</f>
        <v>2020</v>
      </c>
      <c r="D105" s="584">
        <v>4500729</v>
      </c>
      <c r="E105" s="585">
        <v>117658</v>
      </c>
      <c r="F105" s="586">
        <v>4383071</v>
      </c>
      <c r="G105" s="586">
        <v>4441900</v>
      </c>
      <c r="H105" s="606">
        <v>629796.85800289037</v>
      </c>
      <c r="I105" s="607">
        <v>629796.85800289037</v>
      </c>
      <c r="J105" s="478">
        <f t="shared" si="22"/>
        <v>0</v>
      </c>
      <c r="K105" s="478"/>
      <c r="L105" s="476">
        <f t="shared" ref="L105" si="25">H105</f>
        <v>629796.85800289037</v>
      </c>
      <c r="M105" s="349">
        <f t="shared" ref="M105" si="26">IF(L105&lt;&gt;0,+H105-L105,0)</f>
        <v>0</v>
      </c>
      <c r="N105" s="476">
        <f t="shared" ref="N105" si="27">I105</f>
        <v>629796.85800289037</v>
      </c>
      <c r="O105" s="478">
        <f t="shared" si="23"/>
        <v>0</v>
      </c>
      <c r="P105" s="478">
        <f t="shared" si="24"/>
        <v>0</v>
      </c>
    </row>
    <row r="106" spans="1:16">
      <c r="B106" s="160" t="str">
        <f t="shared" si="21"/>
        <v/>
      </c>
      <c r="C106" s="472">
        <f>IF(D93="","-",+C105+1)</f>
        <v>2021</v>
      </c>
      <c r="D106" s="347">
        <f>IF(F105+SUM(E$99:E105)=D$92,F105,D$92-SUM(E$99:E105))</f>
        <v>4383071</v>
      </c>
      <c r="E106" s="484">
        <f t="shared" ref="E106:E154" si="28">IF(+J$96&lt;F105,J$96,D106)</f>
        <v>123397</v>
      </c>
      <c r="F106" s="485">
        <f t="shared" ref="F106:F154" si="29">+D106-E106</f>
        <v>4259674</v>
      </c>
      <c r="G106" s="485">
        <f t="shared" ref="G106:G154" si="30">+(F106+D106)/2</f>
        <v>4321372.5</v>
      </c>
      <c r="H106" s="486">
        <f t="shared" ref="H106:H153" si="31">(D106+F106)/2*J$94+E106</f>
        <v>615138.04650435934</v>
      </c>
      <c r="I106" s="542">
        <f t="shared" ref="I106:I153" si="32">+J$95*G106+E106</f>
        <v>615138.04650435934</v>
      </c>
      <c r="J106" s="478">
        <f t="shared" si="22"/>
        <v>0</v>
      </c>
      <c r="K106" s="478"/>
      <c r="L106" s="487"/>
      <c r="M106" s="478">
        <f t="shared" ref="M106:M130" si="33">IF(L106&lt;&gt;0,+H106-L106,0)</f>
        <v>0</v>
      </c>
      <c r="N106" s="487"/>
      <c r="O106" s="478">
        <f t="shared" si="23"/>
        <v>0</v>
      </c>
      <c r="P106" s="478">
        <f t="shared" si="24"/>
        <v>0</v>
      </c>
    </row>
    <row r="107" spans="1:16">
      <c r="B107" s="160" t="str">
        <f t="shared" si="21"/>
        <v/>
      </c>
      <c r="C107" s="472">
        <f>IF(D93="","-",+C106+1)</f>
        <v>2022</v>
      </c>
      <c r="D107" s="347">
        <f>IF(F106+SUM(E$99:E106)=D$92,F106,D$92-SUM(E$99:E106))</f>
        <v>4259674</v>
      </c>
      <c r="E107" s="484">
        <f t="shared" si="28"/>
        <v>123397</v>
      </c>
      <c r="F107" s="485">
        <f t="shared" si="29"/>
        <v>4136277</v>
      </c>
      <c r="G107" s="485">
        <f t="shared" si="30"/>
        <v>4197975.5</v>
      </c>
      <c r="H107" s="486">
        <f t="shared" si="31"/>
        <v>601096.35722265579</v>
      </c>
      <c r="I107" s="542">
        <f t="shared" si="32"/>
        <v>601096.35722265579</v>
      </c>
      <c r="J107" s="478">
        <f t="shared" si="22"/>
        <v>0</v>
      </c>
      <c r="K107" s="478"/>
      <c r="L107" s="487"/>
      <c r="M107" s="478">
        <f t="shared" si="33"/>
        <v>0</v>
      </c>
      <c r="N107" s="487"/>
      <c r="O107" s="478">
        <f t="shared" si="23"/>
        <v>0</v>
      </c>
      <c r="P107" s="478">
        <f t="shared" si="24"/>
        <v>0</v>
      </c>
    </row>
    <row r="108" spans="1:16">
      <c r="B108" s="160" t="str">
        <f t="shared" si="21"/>
        <v/>
      </c>
      <c r="C108" s="472">
        <f>IF(D93="","-",+C107+1)</f>
        <v>2023</v>
      </c>
      <c r="D108" s="347">
        <f>IF(F107+SUM(E$99:E107)=D$92,F107,D$92-SUM(E$99:E107))</f>
        <v>4136277</v>
      </c>
      <c r="E108" s="484">
        <f t="shared" si="28"/>
        <v>123397</v>
      </c>
      <c r="F108" s="485">
        <f t="shared" si="29"/>
        <v>4012880</v>
      </c>
      <c r="G108" s="485">
        <f t="shared" si="30"/>
        <v>4074578.5</v>
      </c>
      <c r="H108" s="486">
        <f t="shared" si="31"/>
        <v>587054.66794095223</v>
      </c>
      <c r="I108" s="542">
        <f t="shared" si="32"/>
        <v>587054.66794095223</v>
      </c>
      <c r="J108" s="478">
        <f t="shared" si="22"/>
        <v>0</v>
      </c>
      <c r="K108" s="478"/>
      <c r="L108" s="487"/>
      <c r="M108" s="478">
        <f t="shared" si="33"/>
        <v>0</v>
      </c>
      <c r="N108" s="487"/>
      <c r="O108" s="478">
        <f t="shared" si="23"/>
        <v>0</v>
      </c>
      <c r="P108" s="478">
        <f t="shared" si="24"/>
        <v>0</v>
      </c>
    </row>
    <row r="109" spans="1:16">
      <c r="B109" s="160" t="str">
        <f t="shared" si="21"/>
        <v/>
      </c>
      <c r="C109" s="472">
        <f>IF(D93="","-",+C108+1)</f>
        <v>2024</v>
      </c>
      <c r="D109" s="347">
        <f>IF(F108+SUM(E$99:E108)=D$92,F108,D$92-SUM(E$99:E108))</f>
        <v>4012880</v>
      </c>
      <c r="E109" s="484">
        <f t="shared" si="28"/>
        <v>123397</v>
      </c>
      <c r="F109" s="485">
        <f t="shared" si="29"/>
        <v>3889483</v>
      </c>
      <c r="G109" s="485">
        <f t="shared" si="30"/>
        <v>3951181.5</v>
      </c>
      <c r="H109" s="486">
        <f t="shared" si="31"/>
        <v>573012.97865924868</v>
      </c>
      <c r="I109" s="542">
        <f t="shared" si="32"/>
        <v>573012.97865924868</v>
      </c>
      <c r="J109" s="478">
        <f t="shared" si="22"/>
        <v>0</v>
      </c>
      <c r="K109" s="478"/>
      <c r="L109" s="487"/>
      <c r="M109" s="478">
        <f t="shared" si="33"/>
        <v>0</v>
      </c>
      <c r="N109" s="487"/>
      <c r="O109" s="478">
        <f t="shared" si="23"/>
        <v>0</v>
      </c>
      <c r="P109" s="478">
        <f t="shared" si="24"/>
        <v>0</v>
      </c>
    </row>
    <row r="110" spans="1:16">
      <c r="B110" s="160" t="str">
        <f t="shared" si="21"/>
        <v/>
      </c>
      <c r="C110" s="472">
        <f>IF(D93="","-",+C109+1)</f>
        <v>2025</v>
      </c>
      <c r="D110" s="347">
        <f>IF(F109+SUM(E$99:E109)=D$92,F109,D$92-SUM(E$99:E109))</f>
        <v>3889483</v>
      </c>
      <c r="E110" s="484">
        <f t="shared" si="28"/>
        <v>123397</v>
      </c>
      <c r="F110" s="485">
        <f t="shared" si="29"/>
        <v>3766086</v>
      </c>
      <c r="G110" s="485">
        <f t="shared" si="30"/>
        <v>3827784.5</v>
      </c>
      <c r="H110" s="486">
        <f t="shared" si="31"/>
        <v>558971.28937754524</v>
      </c>
      <c r="I110" s="542">
        <f t="shared" si="32"/>
        <v>558971.28937754524</v>
      </c>
      <c r="J110" s="478">
        <f t="shared" si="22"/>
        <v>0</v>
      </c>
      <c r="K110" s="478"/>
      <c r="L110" s="487"/>
      <c r="M110" s="478">
        <f t="shared" si="33"/>
        <v>0</v>
      </c>
      <c r="N110" s="487"/>
      <c r="O110" s="478">
        <f t="shared" si="23"/>
        <v>0</v>
      </c>
      <c r="P110" s="478">
        <f t="shared" si="24"/>
        <v>0</v>
      </c>
    </row>
    <row r="111" spans="1:16">
      <c r="B111" s="160" t="str">
        <f t="shared" si="21"/>
        <v/>
      </c>
      <c r="C111" s="472">
        <f>IF(D93="","-",+C110+1)</f>
        <v>2026</v>
      </c>
      <c r="D111" s="347">
        <f>IF(F110+SUM(E$99:E110)=D$92,F110,D$92-SUM(E$99:E110))</f>
        <v>3766086</v>
      </c>
      <c r="E111" s="484">
        <f t="shared" si="28"/>
        <v>123397</v>
      </c>
      <c r="F111" s="485">
        <f t="shared" si="29"/>
        <v>3642689</v>
      </c>
      <c r="G111" s="485">
        <f t="shared" si="30"/>
        <v>3704387.5</v>
      </c>
      <c r="H111" s="486">
        <f t="shared" si="31"/>
        <v>544929.60009584157</v>
      </c>
      <c r="I111" s="542">
        <f t="shared" si="32"/>
        <v>544929.60009584157</v>
      </c>
      <c r="J111" s="478">
        <f t="shared" si="22"/>
        <v>0</v>
      </c>
      <c r="K111" s="478"/>
      <c r="L111" s="487"/>
      <c r="M111" s="478">
        <f t="shared" si="33"/>
        <v>0</v>
      </c>
      <c r="N111" s="487"/>
      <c r="O111" s="478">
        <f t="shared" si="23"/>
        <v>0</v>
      </c>
      <c r="P111" s="478">
        <f t="shared" si="24"/>
        <v>0</v>
      </c>
    </row>
    <row r="112" spans="1:16">
      <c r="B112" s="160" t="str">
        <f t="shared" si="21"/>
        <v/>
      </c>
      <c r="C112" s="472">
        <f>IF(D93="","-",+C111+1)</f>
        <v>2027</v>
      </c>
      <c r="D112" s="347">
        <f>IF(F111+SUM(E$99:E111)=D$92,F111,D$92-SUM(E$99:E111))</f>
        <v>3642689</v>
      </c>
      <c r="E112" s="484">
        <f t="shared" si="28"/>
        <v>123397</v>
      </c>
      <c r="F112" s="485">
        <f t="shared" si="29"/>
        <v>3519292</v>
      </c>
      <c r="G112" s="485">
        <f t="shared" si="30"/>
        <v>3580990.5</v>
      </c>
      <c r="H112" s="486">
        <f t="shared" si="31"/>
        <v>530887.91081413813</v>
      </c>
      <c r="I112" s="542">
        <f t="shared" si="32"/>
        <v>530887.91081413813</v>
      </c>
      <c r="J112" s="478">
        <f t="shared" si="22"/>
        <v>0</v>
      </c>
      <c r="K112" s="478"/>
      <c r="L112" s="487"/>
      <c r="M112" s="478">
        <f t="shared" si="33"/>
        <v>0</v>
      </c>
      <c r="N112" s="487"/>
      <c r="O112" s="478">
        <f t="shared" si="23"/>
        <v>0</v>
      </c>
      <c r="P112" s="478">
        <f t="shared" si="24"/>
        <v>0</v>
      </c>
    </row>
    <row r="113" spans="2:16">
      <c r="B113" s="160" t="str">
        <f t="shared" si="21"/>
        <v/>
      </c>
      <c r="C113" s="472">
        <f>IF(D93="","-",+C112+1)</f>
        <v>2028</v>
      </c>
      <c r="D113" s="347">
        <f>IF(F112+SUM(E$99:E112)=D$92,F112,D$92-SUM(E$99:E112))</f>
        <v>3519292</v>
      </c>
      <c r="E113" s="484">
        <f t="shared" si="28"/>
        <v>123397</v>
      </c>
      <c r="F113" s="485">
        <f t="shared" si="29"/>
        <v>3395895</v>
      </c>
      <c r="G113" s="485">
        <f t="shared" si="30"/>
        <v>3457593.5</v>
      </c>
      <c r="H113" s="486">
        <f t="shared" si="31"/>
        <v>516846.22153243457</v>
      </c>
      <c r="I113" s="542">
        <f t="shared" si="32"/>
        <v>516846.22153243457</v>
      </c>
      <c r="J113" s="478">
        <f t="shared" si="22"/>
        <v>0</v>
      </c>
      <c r="K113" s="478"/>
      <c r="L113" s="487"/>
      <c r="M113" s="478">
        <f t="shared" si="33"/>
        <v>0</v>
      </c>
      <c r="N113" s="487"/>
      <c r="O113" s="478">
        <f t="shared" si="23"/>
        <v>0</v>
      </c>
      <c r="P113" s="478">
        <f t="shared" si="24"/>
        <v>0</v>
      </c>
    </row>
    <row r="114" spans="2:16">
      <c r="B114" s="160" t="str">
        <f t="shared" si="21"/>
        <v/>
      </c>
      <c r="C114" s="472">
        <f>IF(D93="","-",+C113+1)</f>
        <v>2029</v>
      </c>
      <c r="D114" s="347">
        <f>IF(F113+SUM(E$99:E113)=D$92,F113,D$92-SUM(E$99:E113))</f>
        <v>3395895</v>
      </c>
      <c r="E114" s="484">
        <f t="shared" si="28"/>
        <v>123397</v>
      </c>
      <c r="F114" s="485">
        <f t="shared" si="29"/>
        <v>3272498</v>
      </c>
      <c r="G114" s="485">
        <f t="shared" si="30"/>
        <v>3334196.5</v>
      </c>
      <c r="H114" s="486">
        <f t="shared" si="31"/>
        <v>502804.53225073102</v>
      </c>
      <c r="I114" s="542">
        <f t="shared" si="32"/>
        <v>502804.53225073102</v>
      </c>
      <c r="J114" s="478">
        <f t="shared" si="22"/>
        <v>0</v>
      </c>
      <c r="K114" s="478"/>
      <c r="L114" s="487"/>
      <c r="M114" s="478">
        <f t="shared" si="33"/>
        <v>0</v>
      </c>
      <c r="N114" s="487"/>
      <c r="O114" s="478">
        <f t="shared" si="23"/>
        <v>0</v>
      </c>
      <c r="P114" s="478">
        <f t="shared" si="24"/>
        <v>0</v>
      </c>
    </row>
    <row r="115" spans="2:16">
      <c r="B115" s="160" t="str">
        <f t="shared" si="21"/>
        <v/>
      </c>
      <c r="C115" s="472">
        <f>IF(D93="","-",+C114+1)</f>
        <v>2030</v>
      </c>
      <c r="D115" s="347">
        <f>IF(F114+SUM(E$99:E114)=D$92,F114,D$92-SUM(E$99:E114))</f>
        <v>3272498</v>
      </c>
      <c r="E115" s="484">
        <f t="shared" si="28"/>
        <v>123397</v>
      </c>
      <c r="F115" s="485">
        <f t="shared" si="29"/>
        <v>3149101</v>
      </c>
      <c r="G115" s="485">
        <f t="shared" si="30"/>
        <v>3210799.5</v>
      </c>
      <c r="H115" s="486">
        <f t="shared" si="31"/>
        <v>488762.84296902746</v>
      </c>
      <c r="I115" s="542">
        <f t="shared" si="32"/>
        <v>488762.84296902746</v>
      </c>
      <c r="J115" s="478">
        <f t="shared" si="22"/>
        <v>0</v>
      </c>
      <c r="K115" s="478"/>
      <c r="L115" s="487"/>
      <c r="M115" s="478">
        <f t="shared" si="33"/>
        <v>0</v>
      </c>
      <c r="N115" s="487"/>
      <c r="O115" s="478">
        <f t="shared" si="23"/>
        <v>0</v>
      </c>
      <c r="P115" s="478">
        <f t="shared" si="24"/>
        <v>0</v>
      </c>
    </row>
    <row r="116" spans="2:16">
      <c r="B116" s="160" t="str">
        <f t="shared" si="21"/>
        <v/>
      </c>
      <c r="C116" s="472">
        <f>IF(D93="","-",+C115+1)</f>
        <v>2031</v>
      </c>
      <c r="D116" s="347">
        <f>IF(F115+SUM(E$99:E115)=D$92,F115,D$92-SUM(E$99:E115))</f>
        <v>3149101</v>
      </c>
      <c r="E116" s="484">
        <f t="shared" si="28"/>
        <v>123397</v>
      </c>
      <c r="F116" s="485">
        <f t="shared" si="29"/>
        <v>3025704</v>
      </c>
      <c r="G116" s="485">
        <f t="shared" si="30"/>
        <v>3087402.5</v>
      </c>
      <c r="H116" s="486">
        <f t="shared" si="31"/>
        <v>474721.15368732391</v>
      </c>
      <c r="I116" s="542">
        <f t="shared" si="32"/>
        <v>474721.15368732391</v>
      </c>
      <c r="J116" s="478">
        <f t="shared" si="22"/>
        <v>0</v>
      </c>
      <c r="K116" s="478"/>
      <c r="L116" s="487"/>
      <c r="M116" s="478">
        <f t="shared" si="33"/>
        <v>0</v>
      </c>
      <c r="N116" s="487"/>
      <c r="O116" s="478">
        <f t="shared" si="23"/>
        <v>0</v>
      </c>
      <c r="P116" s="478">
        <f t="shared" si="24"/>
        <v>0</v>
      </c>
    </row>
    <row r="117" spans="2:16">
      <c r="B117" s="160" t="str">
        <f t="shared" si="21"/>
        <v/>
      </c>
      <c r="C117" s="472">
        <f>IF(D93="","-",+C116+1)</f>
        <v>2032</v>
      </c>
      <c r="D117" s="347">
        <f>IF(F116+SUM(E$99:E116)=D$92,F116,D$92-SUM(E$99:E116))</f>
        <v>3025704</v>
      </c>
      <c r="E117" s="484">
        <f t="shared" si="28"/>
        <v>123397</v>
      </c>
      <c r="F117" s="485">
        <f t="shared" si="29"/>
        <v>2902307</v>
      </c>
      <c r="G117" s="485">
        <f t="shared" si="30"/>
        <v>2964005.5</v>
      </c>
      <c r="H117" s="486">
        <f t="shared" si="31"/>
        <v>460679.46440562041</v>
      </c>
      <c r="I117" s="542">
        <f t="shared" si="32"/>
        <v>460679.46440562041</v>
      </c>
      <c r="J117" s="478">
        <f t="shared" si="22"/>
        <v>0</v>
      </c>
      <c r="K117" s="478"/>
      <c r="L117" s="487"/>
      <c r="M117" s="478">
        <f t="shared" si="33"/>
        <v>0</v>
      </c>
      <c r="N117" s="487"/>
      <c r="O117" s="478">
        <f t="shared" si="23"/>
        <v>0</v>
      </c>
      <c r="P117" s="478">
        <f t="shared" si="24"/>
        <v>0</v>
      </c>
    </row>
    <row r="118" spans="2:16">
      <c r="B118" s="160" t="str">
        <f t="shared" si="21"/>
        <v/>
      </c>
      <c r="C118" s="472">
        <f>IF(D93="","-",+C117+1)</f>
        <v>2033</v>
      </c>
      <c r="D118" s="347">
        <f>IF(F117+SUM(E$99:E117)=D$92,F117,D$92-SUM(E$99:E117))</f>
        <v>2902307</v>
      </c>
      <c r="E118" s="484">
        <f t="shared" si="28"/>
        <v>123397</v>
      </c>
      <c r="F118" s="485">
        <f t="shared" si="29"/>
        <v>2778910</v>
      </c>
      <c r="G118" s="485">
        <f t="shared" si="30"/>
        <v>2840608.5</v>
      </c>
      <c r="H118" s="486">
        <f t="shared" si="31"/>
        <v>446637.77512391686</v>
      </c>
      <c r="I118" s="542">
        <f t="shared" si="32"/>
        <v>446637.77512391686</v>
      </c>
      <c r="J118" s="478">
        <f t="shared" si="22"/>
        <v>0</v>
      </c>
      <c r="K118" s="478"/>
      <c r="L118" s="487"/>
      <c r="M118" s="478">
        <f t="shared" si="33"/>
        <v>0</v>
      </c>
      <c r="N118" s="487"/>
      <c r="O118" s="478">
        <f t="shared" si="23"/>
        <v>0</v>
      </c>
      <c r="P118" s="478">
        <f t="shared" si="24"/>
        <v>0</v>
      </c>
    </row>
    <row r="119" spans="2:16">
      <c r="B119" s="160" t="str">
        <f t="shared" si="21"/>
        <v/>
      </c>
      <c r="C119" s="472">
        <f>IF(D93="","-",+C118+1)</f>
        <v>2034</v>
      </c>
      <c r="D119" s="347">
        <f>IF(F118+SUM(E$99:E118)=D$92,F118,D$92-SUM(E$99:E118))</f>
        <v>2778910</v>
      </c>
      <c r="E119" s="484">
        <f t="shared" si="28"/>
        <v>123397</v>
      </c>
      <c r="F119" s="485">
        <f t="shared" si="29"/>
        <v>2655513</v>
      </c>
      <c r="G119" s="485">
        <f t="shared" si="30"/>
        <v>2717211.5</v>
      </c>
      <c r="H119" s="486">
        <f t="shared" si="31"/>
        <v>432596.0858422133</v>
      </c>
      <c r="I119" s="542">
        <f t="shared" si="32"/>
        <v>432596.0858422133</v>
      </c>
      <c r="J119" s="478">
        <f t="shared" si="22"/>
        <v>0</v>
      </c>
      <c r="K119" s="478"/>
      <c r="L119" s="487"/>
      <c r="M119" s="478">
        <f t="shared" si="33"/>
        <v>0</v>
      </c>
      <c r="N119" s="487"/>
      <c r="O119" s="478">
        <f t="shared" si="23"/>
        <v>0</v>
      </c>
      <c r="P119" s="478">
        <f t="shared" si="24"/>
        <v>0</v>
      </c>
    </row>
    <row r="120" spans="2:16">
      <c r="B120" s="160" t="str">
        <f t="shared" si="21"/>
        <v/>
      </c>
      <c r="C120" s="472">
        <f>IF(D93="","-",+C119+1)</f>
        <v>2035</v>
      </c>
      <c r="D120" s="347">
        <f>IF(F119+SUM(E$99:E119)=D$92,F119,D$92-SUM(E$99:E119))</f>
        <v>2655513</v>
      </c>
      <c r="E120" s="484">
        <f t="shared" si="28"/>
        <v>123397</v>
      </c>
      <c r="F120" s="485">
        <f t="shared" si="29"/>
        <v>2532116</v>
      </c>
      <c r="G120" s="485">
        <f t="shared" si="30"/>
        <v>2593814.5</v>
      </c>
      <c r="H120" s="486">
        <f t="shared" si="31"/>
        <v>418554.39656050981</v>
      </c>
      <c r="I120" s="542">
        <f t="shared" si="32"/>
        <v>418554.39656050981</v>
      </c>
      <c r="J120" s="478">
        <f t="shared" si="22"/>
        <v>0</v>
      </c>
      <c r="K120" s="478"/>
      <c r="L120" s="487"/>
      <c r="M120" s="478">
        <f t="shared" si="33"/>
        <v>0</v>
      </c>
      <c r="N120" s="487"/>
      <c r="O120" s="478">
        <f t="shared" si="23"/>
        <v>0</v>
      </c>
      <c r="P120" s="478">
        <f t="shared" si="24"/>
        <v>0</v>
      </c>
    </row>
    <row r="121" spans="2:16">
      <c r="B121" s="160" t="str">
        <f t="shared" si="21"/>
        <v/>
      </c>
      <c r="C121" s="472">
        <f>IF(D93="","-",+C120+1)</f>
        <v>2036</v>
      </c>
      <c r="D121" s="347">
        <f>IF(F120+SUM(E$99:E120)=D$92,F120,D$92-SUM(E$99:E120))</f>
        <v>2532116</v>
      </c>
      <c r="E121" s="484">
        <f t="shared" si="28"/>
        <v>123397</v>
      </c>
      <c r="F121" s="485">
        <f t="shared" si="29"/>
        <v>2408719</v>
      </c>
      <c r="G121" s="485">
        <f t="shared" si="30"/>
        <v>2470417.5</v>
      </c>
      <c r="H121" s="486">
        <f t="shared" si="31"/>
        <v>404512.70727880625</v>
      </c>
      <c r="I121" s="542">
        <f t="shared" si="32"/>
        <v>404512.70727880625</v>
      </c>
      <c r="J121" s="478">
        <f t="shared" si="22"/>
        <v>0</v>
      </c>
      <c r="K121" s="478"/>
      <c r="L121" s="487"/>
      <c r="M121" s="478">
        <f t="shared" si="33"/>
        <v>0</v>
      </c>
      <c r="N121" s="487"/>
      <c r="O121" s="478">
        <f t="shared" si="23"/>
        <v>0</v>
      </c>
      <c r="P121" s="478">
        <f t="shared" si="24"/>
        <v>0</v>
      </c>
    </row>
    <row r="122" spans="2:16">
      <c r="B122" s="160" t="str">
        <f t="shared" si="21"/>
        <v/>
      </c>
      <c r="C122" s="472">
        <f>IF(D93="","-",+C121+1)</f>
        <v>2037</v>
      </c>
      <c r="D122" s="347">
        <f>IF(F121+SUM(E$99:E121)=D$92,F121,D$92-SUM(E$99:E121))</f>
        <v>2408719</v>
      </c>
      <c r="E122" s="484">
        <f t="shared" si="28"/>
        <v>123397</v>
      </c>
      <c r="F122" s="485">
        <f t="shared" si="29"/>
        <v>2285322</v>
      </c>
      <c r="G122" s="485">
        <f t="shared" si="30"/>
        <v>2347020.5</v>
      </c>
      <c r="H122" s="486">
        <f t="shared" si="31"/>
        <v>390471.0179971027</v>
      </c>
      <c r="I122" s="542">
        <f t="shared" si="32"/>
        <v>390471.0179971027</v>
      </c>
      <c r="J122" s="478">
        <f t="shared" si="22"/>
        <v>0</v>
      </c>
      <c r="K122" s="478"/>
      <c r="L122" s="487"/>
      <c r="M122" s="478">
        <f t="shared" si="33"/>
        <v>0</v>
      </c>
      <c r="N122" s="487"/>
      <c r="O122" s="478">
        <f t="shared" si="23"/>
        <v>0</v>
      </c>
      <c r="P122" s="478">
        <f t="shared" si="24"/>
        <v>0</v>
      </c>
    </row>
    <row r="123" spans="2:16">
      <c r="B123" s="160" t="str">
        <f t="shared" si="21"/>
        <v/>
      </c>
      <c r="C123" s="472">
        <f>IF(D93="","-",+C122+1)</f>
        <v>2038</v>
      </c>
      <c r="D123" s="347">
        <f>IF(F122+SUM(E$99:E122)=D$92,F122,D$92-SUM(E$99:E122))</f>
        <v>2285322</v>
      </c>
      <c r="E123" s="484">
        <f t="shared" si="28"/>
        <v>123397</v>
      </c>
      <c r="F123" s="485">
        <f t="shared" si="29"/>
        <v>2161925</v>
      </c>
      <c r="G123" s="485">
        <f t="shared" si="30"/>
        <v>2223623.5</v>
      </c>
      <c r="H123" s="486">
        <f t="shared" si="31"/>
        <v>376429.32871539914</v>
      </c>
      <c r="I123" s="542">
        <f t="shared" si="32"/>
        <v>376429.32871539914</v>
      </c>
      <c r="J123" s="478">
        <f t="shared" si="22"/>
        <v>0</v>
      </c>
      <c r="K123" s="478"/>
      <c r="L123" s="487"/>
      <c r="M123" s="478">
        <f t="shared" si="33"/>
        <v>0</v>
      </c>
      <c r="N123" s="487"/>
      <c r="O123" s="478">
        <f t="shared" si="23"/>
        <v>0</v>
      </c>
      <c r="P123" s="478">
        <f t="shared" si="24"/>
        <v>0</v>
      </c>
    </row>
    <row r="124" spans="2:16">
      <c r="B124" s="160" t="str">
        <f t="shared" si="21"/>
        <v/>
      </c>
      <c r="C124" s="472">
        <f>IF(D93="","-",+C123+1)</f>
        <v>2039</v>
      </c>
      <c r="D124" s="347">
        <f>IF(F123+SUM(E$99:E123)=D$92,F123,D$92-SUM(E$99:E123))</f>
        <v>2161925</v>
      </c>
      <c r="E124" s="484">
        <f t="shared" si="28"/>
        <v>123397</v>
      </c>
      <c r="F124" s="485">
        <f t="shared" si="29"/>
        <v>2038528</v>
      </c>
      <c r="G124" s="485">
        <f t="shared" si="30"/>
        <v>2100226.5</v>
      </c>
      <c r="H124" s="486">
        <f t="shared" si="31"/>
        <v>362387.63943369559</v>
      </c>
      <c r="I124" s="542">
        <f t="shared" si="32"/>
        <v>362387.63943369559</v>
      </c>
      <c r="J124" s="478">
        <f t="shared" si="22"/>
        <v>0</v>
      </c>
      <c r="K124" s="478"/>
      <c r="L124" s="487"/>
      <c r="M124" s="478">
        <f t="shared" si="33"/>
        <v>0</v>
      </c>
      <c r="N124" s="487"/>
      <c r="O124" s="478">
        <f t="shared" si="23"/>
        <v>0</v>
      </c>
      <c r="P124" s="478">
        <f t="shared" si="24"/>
        <v>0</v>
      </c>
    </row>
    <row r="125" spans="2:16">
      <c r="B125" s="160" t="str">
        <f t="shared" si="21"/>
        <v/>
      </c>
      <c r="C125" s="472">
        <f>IF(D93="","-",+C124+1)</f>
        <v>2040</v>
      </c>
      <c r="D125" s="347">
        <f>IF(F124+SUM(E$99:E124)=D$92,F124,D$92-SUM(E$99:E124))</f>
        <v>2038528</v>
      </c>
      <c r="E125" s="484">
        <f t="shared" si="28"/>
        <v>123397</v>
      </c>
      <c r="F125" s="485">
        <f t="shared" si="29"/>
        <v>1915131</v>
      </c>
      <c r="G125" s="485">
        <f t="shared" si="30"/>
        <v>1976829.5</v>
      </c>
      <c r="H125" s="486">
        <f t="shared" si="31"/>
        <v>348345.95015199209</v>
      </c>
      <c r="I125" s="542">
        <f t="shared" si="32"/>
        <v>348345.95015199209</v>
      </c>
      <c r="J125" s="478">
        <f t="shared" si="22"/>
        <v>0</v>
      </c>
      <c r="K125" s="478"/>
      <c r="L125" s="487"/>
      <c r="M125" s="478">
        <f t="shared" si="33"/>
        <v>0</v>
      </c>
      <c r="N125" s="487"/>
      <c r="O125" s="478">
        <f t="shared" si="23"/>
        <v>0</v>
      </c>
      <c r="P125" s="478">
        <f t="shared" si="24"/>
        <v>0</v>
      </c>
    </row>
    <row r="126" spans="2:16">
      <c r="B126" s="160" t="str">
        <f t="shared" si="21"/>
        <v/>
      </c>
      <c r="C126" s="472">
        <f>IF(D93="","-",+C125+1)</f>
        <v>2041</v>
      </c>
      <c r="D126" s="347">
        <f>IF(F125+SUM(E$99:E125)=D$92,F125,D$92-SUM(E$99:E125))</f>
        <v>1915131</v>
      </c>
      <c r="E126" s="484">
        <f t="shared" si="28"/>
        <v>123397</v>
      </c>
      <c r="F126" s="485">
        <f t="shared" si="29"/>
        <v>1791734</v>
      </c>
      <c r="G126" s="485">
        <f t="shared" si="30"/>
        <v>1853432.5</v>
      </c>
      <c r="H126" s="486">
        <f t="shared" si="31"/>
        <v>334304.26087028853</v>
      </c>
      <c r="I126" s="542">
        <f t="shared" si="32"/>
        <v>334304.26087028853</v>
      </c>
      <c r="J126" s="478">
        <f t="shared" si="22"/>
        <v>0</v>
      </c>
      <c r="K126" s="478"/>
      <c r="L126" s="487"/>
      <c r="M126" s="478">
        <f t="shared" si="33"/>
        <v>0</v>
      </c>
      <c r="N126" s="487"/>
      <c r="O126" s="478">
        <f t="shared" si="23"/>
        <v>0</v>
      </c>
      <c r="P126" s="478">
        <f t="shared" si="24"/>
        <v>0</v>
      </c>
    </row>
    <row r="127" spans="2:16">
      <c r="B127" s="160" t="str">
        <f t="shared" si="21"/>
        <v/>
      </c>
      <c r="C127" s="472">
        <f>IF(D93="","-",+C126+1)</f>
        <v>2042</v>
      </c>
      <c r="D127" s="347">
        <f>IF(F126+SUM(E$99:E126)=D$92,F126,D$92-SUM(E$99:E126))</f>
        <v>1791734</v>
      </c>
      <c r="E127" s="484">
        <f t="shared" si="28"/>
        <v>123397</v>
      </c>
      <c r="F127" s="485">
        <f t="shared" si="29"/>
        <v>1668337</v>
      </c>
      <c r="G127" s="485">
        <f t="shared" si="30"/>
        <v>1730035.5</v>
      </c>
      <c r="H127" s="486">
        <f t="shared" si="31"/>
        <v>320262.57158858504</v>
      </c>
      <c r="I127" s="542">
        <f t="shared" si="32"/>
        <v>320262.57158858504</v>
      </c>
      <c r="J127" s="478">
        <f t="shared" si="22"/>
        <v>0</v>
      </c>
      <c r="K127" s="478"/>
      <c r="L127" s="487"/>
      <c r="M127" s="478">
        <f t="shared" si="33"/>
        <v>0</v>
      </c>
      <c r="N127" s="487"/>
      <c r="O127" s="478">
        <f t="shared" si="23"/>
        <v>0</v>
      </c>
      <c r="P127" s="478">
        <f t="shared" si="24"/>
        <v>0</v>
      </c>
    </row>
    <row r="128" spans="2:16">
      <c r="B128" s="160" t="str">
        <f t="shared" si="21"/>
        <v/>
      </c>
      <c r="C128" s="472">
        <f>IF(D93="","-",+C127+1)</f>
        <v>2043</v>
      </c>
      <c r="D128" s="347">
        <f>IF(F127+SUM(E$99:E127)=D$92,F127,D$92-SUM(E$99:E127))</f>
        <v>1668337</v>
      </c>
      <c r="E128" s="484">
        <f t="shared" si="28"/>
        <v>123397</v>
      </c>
      <c r="F128" s="485">
        <f t="shared" si="29"/>
        <v>1544940</v>
      </c>
      <c r="G128" s="485">
        <f t="shared" si="30"/>
        <v>1606638.5</v>
      </c>
      <c r="H128" s="486">
        <f t="shared" si="31"/>
        <v>306220.88230688148</v>
      </c>
      <c r="I128" s="542">
        <f t="shared" si="32"/>
        <v>306220.88230688148</v>
      </c>
      <c r="J128" s="478">
        <f t="shared" si="22"/>
        <v>0</v>
      </c>
      <c r="K128" s="478"/>
      <c r="L128" s="487"/>
      <c r="M128" s="478">
        <f t="shared" si="33"/>
        <v>0</v>
      </c>
      <c r="N128" s="487"/>
      <c r="O128" s="478">
        <f t="shared" si="23"/>
        <v>0</v>
      </c>
      <c r="P128" s="478">
        <f t="shared" si="24"/>
        <v>0</v>
      </c>
    </row>
    <row r="129" spans="2:16">
      <c r="B129" s="160" t="str">
        <f t="shared" si="21"/>
        <v/>
      </c>
      <c r="C129" s="472">
        <f>IF(D93="","-",+C128+1)</f>
        <v>2044</v>
      </c>
      <c r="D129" s="347">
        <f>IF(F128+SUM(E$99:E128)=D$92,F128,D$92-SUM(E$99:E128))</f>
        <v>1544940</v>
      </c>
      <c r="E129" s="484">
        <f t="shared" si="28"/>
        <v>123397</v>
      </c>
      <c r="F129" s="485">
        <f t="shared" si="29"/>
        <v>1421543</v>
      </c>
      <c r="G129" s="485">
        <f t="shared" si="30"/>
        <v>1483241.5</v>
      </c>
      <c r="H129" s="486">
        <f t="shared" si="31"/>
        <v>292179.19302517793</v>
      </c>
      <c r="I129" s="542">
        <f t="shared" si="32"/>
        <v>292179.19302517793</v>
      </c>
      <c r="J129" s="478">
        <f t="shared" si="22"/>
        <v>0</v>
      </c>
      <c r="K129" s="478"/>
      <c r="L129" s="487"/>
      <c r="M129" s="478">
        <f t="shared" si="33"/>
        <v>0</v>
      </c>
      <c r="N129" s="487"/>
      <c r="O129" s="478">
        <f t="shared" si="23"/>
        <v>0</v>
      </c>
      <c r="P129" s="478">
        <f t="shared" si="24"/>
        <v>0</v>
      </c>
    </row>
    <row r="130" spans="2:16">
      <c r="B130" s="160" t="str">
        <f t="shared" si="21"/>
        <v/>
      </c>
      <c r="C130" s="472">
        <f>IF(D93="","-",+C129+1)</f>
        <v>2045</v>
      </c>
      <c r="D130" s="347">
        <f>IF(F129+SUM(E$99:E129)=D$92,F129,D$92-SUM(E$99:E129))</f>
        <v>1421543</v>
      </c>
      <c r="E130" s="484">
        <f t="shared" si="28"/>
        <v>123397</v>
      </c>
      <c r="F130" s="485">
        <f t="shared" si="29"/>
        <v>1298146</v>
      </c>
      <c r="G130" s="485">
        <f t="shared" si="30"/>
        <v>1359844.5</v>
      </c>
      <c r="H130" s="486">
        <f t="shared" si="31"/>
        <v>278137.50374347437</v>
      </c>
      <c r="I130" s="542">
        <f t="shared" si="32"/>
        <v>278137.50374347437</v>
      </c>
      <c r="J130" s="478">
        <f t="shared" si="22"/>
        <v>0</v>
      </c>
      <c r="K130" s="478"/>
      <c r="L130" s="487"/>
      <c r="M130" s="478">
        <f t="shared" si="33"/>
        <v>0</v>
      </c>
      <c r="N130" s="487"/>
      <c r="O130" s="478">
        <f t="shared" si="23"/>
        <v>0</v>
      </c>
      <c r="P130" s="478">
        <f t="shared" si="24"/>
        <v>0</v>
      </c>
    </row>
    <row r="131" spans="2:16">
      <c r="B131" s="160" t="str">
        <f t="shared" si="21"/>
        <v/>
      </c>
      <c r="C131" s="472">
        <f>IF(D93="","-",+C130+1)</f>
        <v>2046</v>
      </c>
      <c r="D131" s="347">
        <f>IF(F130+SUM(E$99:E130)=D$92,F130,D$92-SUM(E$99:E130))</f>
        <v>1298146</v>
      </c>
      <c r="E131" s="484">
        <f t="shared" si="28"/>
        <v>123397</v>
      </c>
      <c r="F131" s="485">
        <f t="shared" si="29"/>
        <v>1174749</v>
      </c>
      <c r="G131" s="485">
        <f t="shared" si="30"/>
        <v>1236447.5</v>
      </c>
      <c r="H131" s="486">
        <f t="shared" si="31"/>
        <v>264095.81446177082</v>
      </c>
      <c r="I131" s="542">
        <f t="shared" si="32"/>
        <v>264095.81446177082</v>
      </c>
      <c r="J131" s="478">
        <f t="shared" si="22"/>
        <v>0</v>
      </c>
      <c r="K131" s="478"/>
      <c r="L131" s="487"/>
      <c r="M131" s="478">
        <f t="shared" ref="M131:M154" si="34">IF(L541&lt;&gt;0,+H541-L541,0)</f>
        <v>0</v>
      </c>
      <c r="N131" s="487"/>
      <c r="O131" s="478">
        <f t="shared" ref="O131:O154" si="35">IF(N541&lt;&gt;0,+I541-N541,0)</f>
        <v>0</v>
      </c>
      <c r="P131" s="478">
        <f t="shared" ref="P131:P154" si="36">+O541-M541</f>
        <v>0</v>
      </c>
    </row>
    <row r="132" spans="2:16">
      <c r="B132" s="160" t="str">
        <f t="shared" si="21"/>
        <v/>
      </c>
      <c r="C132" s="472">
        <f>IF(D93="","-",+C131+1)</f>
        <v>2047</v>
      </c>
      <c r="D132" s="347">
        <f>IF(F131+SUM(E$99:E131)=D$92,F131,D$92-SUM(E$99:E131))</f>
        <v>1174749</v>
      </c>
      <c r="E132" s="484">
        <f t="shared" si="28"/>
        <v>123397</v>
      </c>
      <c r="F132" s="485">
        <f t="shared" si="29"/>
        <v>1051352</v>
      </c>
      <c r="G132" s="485">
        <f t="shared" si="30"/>
        <v>1113050.5</v>
      </c>
      <c r="H132" s="486">
        <f t="shared" si="31"/>
        <v>250054.12518006732</v>
      </c>
      <c r="I132" s="542">
        <f t="shared" si="32"/>
        <v>250054.12518006732</v>
      </c>
      <c r="J132" s="478">
        <f t="shared" si="22"/>
        <v>0</v>
      </c>
      <c r="K132" s="478"/>
      <c r="L132" s="487"/>
      <c r="M132" s="478">
        <f t="shared" si="34"/>
        <v>0</v>
      </c>
      <c r="N132" s="487"/>
      <c r="O132" s="478">
        <f t="shared" si="35"/>
        <v>0</v>
      </c>
      <c r="P132" s="478">
        <f t="shared" si="36"/>
        <v>0</v>
      </c>
    </row>
    <row r="133" spans="2:16">
      <c r="B133" s="160" t="str">
        <f t="shared" si="21"/>
        <v/>
      </c>
      <c r="C133" s="472">
        <f>IF(D93="","-",+C132+1)</f>
        <v>2048</v>
      </c>
      <c r="D133" s="347">
        <f>IF(F132+SUM(E$99:E132)=D$92,F132,D$92-SUM(E$99:E132))</f>
        <v>1051352</v>
      </c>
      <c r="E133" s="484">
        <f t="shared" si="28"/>
        <v>123397</v>
      </c>
      <c r="F133" s="485">
        <f t="shared" si="29"/>
        <v>927955</v>
      </c>
      <c r="G133" s="485">
        <f t="shared" si="30"/>
        <v>989653.5</v>
      </c>
      <c r="H133" s="486">
        <f t="shared" si="31"/>
        <v>236012.43589836376</v>
      </c>
      <c r="I133" s="542">
        <f t="shared" si="32"/>
        <v>236012.43589836376</v>
      </c>
      <c r="J133" s="478">
        <f t="shared" si="22"/>
        <v>0</v>
      </c>
      <c r="K133" s="478"/>
      <c r="L133" s="487"/>
      <c r="M133" s="478">
        <f t="shared" si="34"/>
        <v>0</v>
      </c>
      <c r="N133" s="487"/>
      <c r="O133" s="478">
        <f t="shared" si="35"/>
        <v>0</v>
      </c>
      <c r="P133" s="478">
        <f t="shared" si="36"/>
        <v>0</v>
      </c>
    </row>
    <row r="134" spans="2:16">
      <c r="B134" s="160" t="str">
        <f t="shared" si="21"/>
        <v/>
      </c>
      <c r="C134" s="472">
        <f>IF(D93="","-",+C133+1)</f>
        <v>2049</v>
      </c>
      <c r="D134" s="347">
        <f>IF(F133+SUM(E$99:E133)=D$92,F133,D$92-SUM(E$99:E133))</f>
        <v>927955</v>
      </c>
      <c r="E134" s="484">
        <f t="shared" si="28"/>
        <v>123397</v>
      </c>
      <c r="F134" s="485">
        <f t="shared" si="29"/>
        <v>804558</v>
      </c>
      <c r="G134" s="485">
        <f t="shared" si="30"/>
        <v>866256.5</v>
      </c>
      <c r="H134" s="486">
        <f t="shared" si="31"/>
        <v>221970.74661666021</v>
      </c>
      <c r="I134" s="542">
        <f t="shared" si="32"/>
        <v>221970.74661666021</v>
      </c>
      <c r="J134" s="478">
        <f t="shared" si="22"/>
        <v>0</v>
      </c>
      <c r="K134" s="478"/>
      <c r="L134" s="487"/>
      <c r="M134" s="478">
        <f t="shared" si="34"/>
        <v>0</v>
      </c>
      <c r="N134" s="487"/>
      <c r="O134" s="478">
        <f t="shared" si="35"/>
        <v>0</v>
      </c>
      <c r="P134" s="478">
        <f t="shared" si="36"/>
        <v>0</v>
      </c>
    </row>
    <row r="135" spans="2:16">
      <c r="B135" s="160" t="str">
        <f t="shared" si="21"/>
        <v/>
      </c>
      <c r="C135" s="472">
        <f>IF(D93="","-",+C134+1)</f>
        <v>2050</v>
      </c>
      <c r="D135" s="347">
        <f>IF(F134+SUM(E$99:E134)=D$92,F134,D$92-SUM(E$99:E134))</f>
        <v>804558</v>
      </c>
      <c r="E135" s="484">
        <f t="shared" si="28"/>
        <v>123397</v>
      </c>
      <c r="F135" s="485">
        <f t="shared" si="29"/>
        <v>681161</v>
      </c>
      <c r="G135" s="485">
        <f t="shared" si="30"/>
        <v>742859.5</v>
      </c>
      <c r="H135" s="486">
        <f t="shared" si="31"/>
        <v>207929.05733495668</v>
      </c>
      <c r="I135" s="542">
        <f t="shared" si="32"/>
        <v>207929.05733495668</v>
      </c>
      <c r="J135" s="478">
        <f t="shared" si="22"/>
        <v>0</v>
      </c>
      <c r="K135" s="478"/>
      <c r="L135" s="487"/>
      <c r="M135" s="478">
        <f t="shared" si="34"/>
        <v>0</v>
      </c>
      <c r="N135" s="487"/>
      <c r="O135" s="478">
        <f t="shared" si="35"/>
        <v>0</v>
      </c>
      <c r="P135" s="478">
        <f t="shared" si="36"/>
        <v>0</v>
      </c>
    </row>
    <row r="136" spans="2:16">
      <c r="B136" s="160" t="str">
        <f t="shared" si="21"/>
        <v/>
      </c>
      <c r="C136" s="472">
        <f>IF(D93="","-",+C135+1)</f>
        <v>2051</v>
      </c>
      <c r="D136" s="347">
        <f>IF(F135+SUM(E$99:E135)=D$92,F135,D$92-SUM(E$99:E135))</f>
        <v>681161</v>
      </c>
      <c r="E136" s="484">
        <f t="shared" si="28"/>
        <v>123397</v>
      </c>
      <c r="F136" s="485">
        <f t="shared" si="29"/>
        <v>557764</v>
      </c>
      <c r="G136" s="485">
        <f t="shared" si="30"/>
        <v>619462.5</v>
      </c>
      <c r="H136" s="486">
        <f t="shared" si="31"/>
        <v>193887.36805325316</v>
      </c>
      <c r="I136" s="542">
        <f t="shared" si="32"/>
        <v>193887.36805325316</v>
      </c>
      <c r="J136" s="478">
        <f t="shared" si="22"/>
        <v>0</v>
      </c>
      <c r="K136" s="478"/>
      <c r="L136" s="487"/>
      <c r="M136" s="478">
        <f t="shared" si="34"/>
        <v>0</v>
      </c>
      <c r="N136" s="487"/>
      <c r="O136" s="478">
        <f t="shared" si="35"/>
        <v>0</v>
      </c>
      <c r="P136" s="478">
        <f t="shared" si="36"/>
        <v>0</v>
      </c>
    </row>
    <row r="137" spans="2:16">
      <c r="B137" s="160" t="str">
        <f t="shared" si="21"/>
        <v/>
      </c>
      <c r="C137" s="472">
        <f>IF(D93="","-",+C136+1)</f>
        <v>2052</v>
      </c>
      <c r="D137" s="347">
        <f>IF(F136+SUM(E$99:E136)=D$92,F136,D$92-SUM(E$99:E136))</f>
        <v>557764</v>
      </c>
      <c r="E137" s="484">
        <f t="shared" si="28"/>
        <v>123397</v>
      </c>
      <c r="F137" s="485">
        <f t="shared" si="29"/>
        <v>434367</v>
      </c>
      <c r="G137" s="485">
        <f t="shared" si="30"/>
        <v>496065.5</v>
      </c>
      <c r="H137" s="486">
        <f t="shared" si="31"/>
        <v>179845.6787715496</v>
      </c>
      <c r="I137" s="542">
        <f t="shared" si="32"/>
        <v>179845.6787715496</v>
      </c>
      <c r="J137" s="478">
        <f t="shared" si="22"/>
        <v>0</v>
      </c>
      <c r="K137" s="478"/>
      <c r="L137" s="487"/>
      <c r="M137" s="478">
        <f t="shared" si="34"/>
        <v>0</v>
      </c>
      <c r="N137" s="487"/>
      <c r="O137" s="478">
        <f t="shared" si="35"/>
        <v>0</v>
      </c>
      <c r="P137" s="478">
        <f t="shared" si="36"/>
        <v>0</v>
      </c>
    </row>
    <row r="138" spans="2:16">
      <c r="B138" s="160" t="str">
        <f t="shared" si="21"/>
        <v/>
      </c>
      <c r="C138" s="472">
        <f>IF(D93="","-",+C137+1)</f>
        <v>2053</v>
      </c>
      <c r="D138" s="347">
        <f>IF(F137+SUM(E$99:E137)=D$92,F137,D$92-SUM(E$99:E137))</f>
        <v>434367</v>
      </c>
      <c r="E138" s="484">
        <f t="shared" si="28"/>
        <v>123397</v>
      </c>
      <c r="F138" s="485">
        <f t="shared" si="29"/>
        <v>310970</v>
      </c>
      <c r="G138" s="485">
        <f t="shared" si="30"/>
        <v>372668.5</v>
      </c>
      <c r="H138" s="486">
        <f t="shared" si="31"/>
        <v>165803.98948984608</v>
      </c>
      <c r="I138" s="542">
        <f t="shared" si="32"/>
        <v>165803.98948984608</v>
      </c>
      <c r="J138" s="478">
        <f t="shared" si="22"/>
        <v>0</v>
      </c>
      <c r="K138" s="478"/>
      <c r="L138" s="487"/>
      <c r="M138" s="478">
        <f t="shared" si="34"/>
        <v>0</v>
      </c>
      <c r="N138" s="487"/>
      <c r="O138" s="478">
        <f t="shared" si="35"/>
        <v>0</v>
      </c>
      <c r="P138" s="478">
        <f t="shared" si="36"/>
        <v>0</v>
      </c>
    </row>
    <row r="139" spans="2:16">
      <c r="B139" s="160" t="str">
        <f t="shared" si="21"/>
        <v/>
      </c>
      <c r="C139" s="472">
        <f>IF(D93="","-",+C138+1)</f>
        <v>2054</v>
      </c>
      <c r="D139" s="347">
        <f>IF(F138+SUM(E$99:E138)=D$92,F138,D$92-SUM(E$99:E138))</f>
        <v>310970</v>
      </c>
      <c r="E139" s="484">
        <f t="shared" si="28"/>
        <v>123397</v>
      </c>
      <c r="F139" s="485">
        <f t="shared" si="29"/>
        <v>187573</v>
      </c>
      <c r="G139" s="485">
        <f t="shared" si="30"/>
        <v>249271.5</v>
      </c>
      <c r="H139" s="486">
        <f t="shared" si="31"/>
        <v>151762.30020814252</v>
      </c>
      <c r="I139" s="542">
        <f t="shared" si="32"/>
        <v>151762.30020814252</v>
      </c>
      <c r="J139" s="478">
        <f t="shared" si="22"/>
        <v>0</v>
      </c>
      <c r="K139" s="478"/>
      <c r="L139" s="487"/>
      <c r="M139" s="478">
        <f t="shared" si="34"/>
        <v>0</v>
      </c>
      <c r="N139" s="487"/>
      <c r="O139" s="478">
        <f t="shared" si="35"/>
        <v>0</v>
      </c>
      <c r="P139" s="478">
        <f t="shared" si="36"/>
        <v>0</v>
      </c>
    </row>
    <row r="140" spans="2:16">
      <c r="B140" s="160" t="str">
        <f t="shared" si="21"/>
        <v/>
      </c>
      <c r="C140" s="472">
        <f>IF(D93="","-",+C139+1)</f>
        <v>2055</v>
      </c>
      <c r="D140" s="347">
        <f>IF(F139+SUM(E$99:E139)=D$92,F139,D$92-SUM(E$99:E139))</f>
        <v>187573</v>
      </c>
      <c r="E140" s="484">
        <f t="shared" si="28"/>
        <v>123397</v>
      </c>
      <c r="F140" s="485">
        <f t="shared" si="29"/>
        <v>64176</v>
      </c>
      <c r="G140" s="485">
        <f t="shared" si="30"/>
        <v>125874.5</v>
      </c>
      <c r="H140" s="486">
        <f t="shared" si="31"/>
        <v>137720.610926439</v>
      </c>
      <c r="I140" s="542">
        <f t="shared" si="32"/>
        <v>137720.610926439</v>
      </c>
      <c r="J140" s="478">
        <f t="shared" si="22"/>
        <v>0</v>
      </c>
      <c r="K140" s="478"/>
      <c r="L140" s="487"/>
      <c r="M140" s="478">
        <f t="shared" si="34"/>
        <v>0</v>
      </c>
      <c r="N140" s="487"/>
      <c r="O140" s="478">
        <f t="shared" si="35"/>
        <v>0</v>
      </c>
      <c r="P140" s="478">
        <f t="shared" si="36"/>
        <v>0</v>
      </c>
    </row>
    <row r="141" spans="2:16">
      <c r="B141" s="160" t="str">
        <f t="shared" si="21"/>
        <v/>
      </c>
      <c r="C141" s="472">
        <f>IF(D93="","-",+C140+1)</f>
        <v>2056</v>
      </c>
      <c r="D141" s="347">
        <f>IF(F140+SUM(E$99:E140)=D$92,F140,D$92-SUM(E$99:E140))</f>
        <v>64176</v>
      </c>
      <c r="E141" s="484">
        <f t="shared" si="28"/>
        <v>64176</v>
      </c>
      <c r="F141" s="485">
        <f t="shared" si="29"/>
        <v>0</v>
      </c>
      <c r="G141" s="485">
        <f t="shared" si="30"/>
        <v>32088</v>
      </c>
      <c r="H141" s="486">
        <f t="shared" si="31"/>
        <v>67827.383142793609</v>
      </c>
      <c r="I141" s="542">
        <f t="shared" si="32"/>
        <v>67827.383142793609</v>
      </c>
      <c r="J141" s="478">
        <f t="shared" si="22"/>
        <v>0</v>
      </c>
      <c r="K141" s="478"/>
      <c r="L141" s="487"/>
      <c r="M141" s="478">
        <f t="shared" si="34"/>
        <v>0</v>
      </c>
      <c r="N141" s="487"/>
      <c r="O141" s="478">
        <f t="shared" si="35"/>
        <v>0</v>
      </c>
      <c r="P141" s="478">
        <f t="shared" si="36"/>
        <v>0</v>
      </c>
    </row>
    <row r="142" spans="2:16">
      <c r="B142" s="160" t="str">
        <f t="shared" si="21"/>
        <v/>
      </c>
      <c r="C142" s="472">
        <f>IF(D93="","-",+C141+1)</f>
        <v>2057</v>
      </c>
      <c r="D142" s="347">
        <f>IF(F141+SUM(E$99:E141)=D$92,F141,D$92-SUM(E$99:E141))</f>
        <v>0</v>
      </c>
      <c r="E142" s="484">
        <f t="shared" si="28"/>
        <v>0</v>
      </c>
      <c r="F142" s="485">
        <f t="shared" si="29"/>
        <v>0</v>
      </c>
      <c r="G142" s="485">
        <f t="shared" si="30"/>
        <v>0</v>
      </c>
      <c r="H142" s="486">
        <f t="shared" si="31"/>
        <v>0</v>
      </c>
      <c r="I142" s="542">
        <f t="shared" si="32"/>
        <v>0</v>
      </c>
      <c r="J142" s="478">
        <f t="shared" si="22"/>
        <v>0</v>
      </c>
      <c r="K142" s="478"/>
      <c r="L142" s="487"/>
      <c r="M142" s="478">
        <f t="shared" si="34"/>
        <v>0</v>
      </c>
      <c r="N142" s="487"/>
      <c r="O142" s="478">
        <f t="shared" si="35"/>
        <v>0</v>
      </c>
      <c r="P142" s="478">
        <f t="shared" si="36"/>
        <v>0</v>
      </c>
    </row>
    <row r="143" spans="2:16">
      <c r="B143" s="160" t="str">
        <f t="shared" si="21"/>
        <v/>
      </c>
      <c r="C143" s="472">
        <f>IF(D93="","-",+C142+1)</f>
        <v>2058</v>
      </c>
      <c r="D143" s="347">
        <f>IF(F142+SUM(E$99:E142)=D$92,F142,D$92-SUM(E$99:E142))</f>
        <v>0</v>
      </c>
      <c r="E143" s="484">
        <f t="shared" si="28"/>
        <v>0</v>
      </c>
      <c r="F143" s="485">
        <f t="shared" si="29"/>
        <v>0</v>
      </c>
      <c r="G143" s="485">
        <f t="shared" si="30"/>
        <v>0</v>
      </c>
      <c r="H143" s="486">
        <f t="shared" si="31"/>
        <v>0</v>
      </c>
      <c r="I143" s="542">
        <f t="shared" si="32"/>
        <v>0</v>
      </c>
      <c r="J143" s="478">
        <f t="shared" si="22"/>
        <v>0</v>
      </c>
      <c r="K143" s="478"/>
      <c r="L143" s="487"/>
      <c r="M143" s="478">
        <f t="shared" si="34"/>
        <v>0</v>
      </c>
      <c r="N143" s="487"/>
      <c r="O143" s="478">
        <f t="shared" si="35"/>
        <v>0</v>
      </c>
      <c r="P143" s="478">
        <f t="shared" si="36"/>
        <v>0</v>
      </c>
    </row>
    <row r="144" spans="2:16">
      <c r="B144" s="160" t="str">
        <f t="shared" si="21"/>
        <v/>
      </c>
      <c r="C144" s="472">
        <f>IF(D93="","-",+C143+1)</f>
        <v>2059</v>
      </c>
      <c r="D144" s="347">
        <f>IF(F143+SUM(E$99:E143)=D$92,F143,D$92-SUM(E$99:E143))</f>
        <v>0</v>
      </c>
      <c r="E144" s="484">
        <f t="shared" si="28"/>
        <v>0</v>
      </c>
      <c r="F144" s="485">
        <f t="shared" si="29"/>
        <v>0</v>
      </c>
      <c r="G144" s="485">
        <f t="shared" si="30"/>
        <v>0</v>
      </c>
      <c r="H144" s="486">
        <f t="shared" si="31"/>
        <v>0</v>
      </c>
      <c r="I144" s="542">
        <f t="shared" si="32"/>
        <v>0</v>
      </c>
      <c r="J144" s="478">
        <f t="shared" si="22"/>
        <v>0</v>
      </c>
      <c r="K144" s="478"/>
      <c r="L144" s="487"/>
      <c r="M144" s="478">
        <f t="shared" si="34"/>
        <v>0</v>
      </c>
      <c r="N144" s="487"/>
      <c r="O144" s="478">
        <f t="shared" si="35"/>
        <v>0</v>
      </c>
      <c r="P144" s="478">
        <f t="shared" si="36"/>
        <v>0</v>
      </c>
    </row>
    <row r="145" spans="2:16">
      <c r="B145" s="160" t="str">
        <f t="shared" si="21"/>
        <v/>
      </c>
      <c r="C145" s="472">
        <f>IF(D93="","-",+C144+1)</f>
        <v>2060</v>
      </c>
      <c r="D145" s="347">
        <f>IF(F144+SUM(E$99:E144)=D$92,F144,D$92-SUM(E$99:E144))</f>
        <v>0</v>
      </c>
      <c r="E145" s="484">
        <f t="shared" si="28"/>
        <v>0</v>
      </c>
      <c r="F145" s="485">
        <f t="shared" si="29"/>
        <v>0</v>
      </c>
      <c r="G145" s="485">
        <f t="shared" si="30"/>
        <v>0</v>
      </c>
      <c r="H145" s="486">
        <f t="shared" si="31"/>
        <v>0</v>
      </c>
      <c r="I145" s="542">
        <f t="shared" si="32"/>
        <v>0</v>
      </c>
      <c r="J145" s="478">
        <f t="shared" si="22"/>
        <v>0</v>
      </c>
      <c r="K145" s="478"/>
      <c r="L145" s="487"/>
      <c r="M145" s="478">
        <f t="shared" si="34"/>
        <v>0</v>
      </c>
      <c r="N145" s="487"/>
      <c r="O145" s="478">
        <f t="shared" si="35"/>
        <v>0</v>
      </c>
      <c r="P145" s="478">
        <f t="shared" si="36"/>
        <v>0</v>
      </c>
    </row>
    <row r="146" spans="2:16">
      <c r="B146" s="160" t="str">
        <f t="shared" si="21"/>
        <v/>
      </c>
      <c r="C146" s="472">
        <f>IF(D93="","-",+C145+1)</f>
        <v>2061</v>
      </c>
      <c r="D146" s="347">
        <f>IF(F145+SUM(E$99:E145)=D$92,F145,D$92-SUM(E$99:E145))</f>
        <v>0</v>
      </c>
      <c r="E146" s="484">
        <f t="shared" si="28"/>
        <v>0</v>
      </c>
      <c r="F146" s="485">
        <f t="shared" si="29"/>
        <v>0</v>
      </c>
      <c r="G146" s="485">
        <f t="shared" si="30"/>
        <v>0</v>
      </c>
      <c r="H146" s="486">
        <f t="shared" si="31"/>
        <v>0</v>
      </c>
      <c r="I146" s="542">
        <f t="shared" si="32"/>
        <v>0</v>
      </c>
      <c r="J146" s="478">
        <f t="shared" si="22"/>
        <v>0</v>
      </c>
      <c r="K146" s="478"/>
      <c r="L146" s="487"/>
      <c r="M146" s="478">
        <f t="shared" si="34"/>
        <v>0</v>
      </c>
      <c r="N146" s="487"/>
      <c r="O146" s="478">
        <f t="shared" si="35"/>
        <v>0</v>
      </c>
      <c r="P146" s="478">
        <f t="shared" si="36"/>
        <v>0</v>
      </c>
    </row>
    <row r="147" spans="2:16">
      <c r="B147" s="160" t="str">
        <f t="shared" si="21"/>
        <v/>
      </c>
      <c r="C147" s="472">
        <f>IF(D93="","-",+C146+1)</f>
        <v>2062</v>
      </c>
      <c r="D147" s="347">
        <f>IF(F146+SUM(E$99:E146)=D$92,F146,D$92-SUM(E$99:E146))</f>
        <v>0</v>
      </c>
      <c r="E147" s="484">
        <f t="shared" si="28"/>
        <v>0</v>
      </c>
      <c r="F147" s="485">
        <f t="shared" si="29"/>
        <v>0</v>
      </c>
      <c r="G147" s="485">
        <f t="shared" si="30"/>
        <v>0</v>
      </c>
      <c r="H147" s="486">
        <f t="shared" si="31"/>
        <v>0</v>
      </c>
      <c r="I147" s="542">
        <f t="shared" si="32"/>
        <v>0</v>
      </c>
      <c r="J147" s="478">
        <f t="shared" si="22"/>
        <v>0</v>
      </c>
      <c r="K147" s="478"/>
      <c r="L147" s="487"/>
      <c r="M147" s="478">
        <f t="shared" si="34"/>
        <v>0</v>
      </c>
      <c r="N147" s="487"/>
      <c r="O147" s="478">
        <f t="shared" si="35"/>
        <v>0</v>
      </c>
      <c r="P147" s="478">
        <f t="shared" si="36"/>
        <v>0</v>
      </c>
    </row>
    <row r="148" spans="2:16">
      <c r="B148" s="160" t="str">
        <f t="shared" si="21"/>
        <v/>
      </c>
      <c r="C148" s="472">
        <f>IF(D93="","-",+C147+1)</f>
        <v>2063</v>
      </c>
      <c r="D148" s="347">
        <f>IF(F147+SUM(E$99:E147)=D$92,F147,D$92-SUM(E$99:E147))</f>
        <v>0</v>
      </c>
      <c r="E148" s="484">
        <f t="shared" si="28"/>
        <v>0</v>
      </c>
      <c r="F148" s="485">
        <f t="shared" si="29"/>
        <v>0</v>
      </c>
      <c r="G148" s="485">
        <f t="shared" si="30"/>
        <v>0</v>
      </c>
      <c r="H148" s="486">
        <f t="shared" si="31"/>
        <v>0</v>
      </c>
      <c r="I148" s="542">
        <f t="shared" si="32"/>
        <v>0</v>
      </c>
      <c r="J148" s="478">
        <f t="shared" si="22"/>
        <v>0</v>
      </c>
      <c r="K148" s="478"/>
      <c r="L148" s="487"/>
      <c r="M148" s="478">
        <f t="shared" si="34"/>
        <v>0</v>
      </c>
      <c r="N148" s="487"/>
      <c r="O148" s="478">
        <f t="shared" si="35"/>
        <v>0</v>
      </c>
      <c r="P148" s="478">
        <f t="shared" si="36"/>
        <v>0</v>
      </c>
    </row>
    <row r="149" spans="2:16">
      <c r="B149" s="160" t="str">
        <f t="shared" si="21"/>
        <v/>
      </c>
      <c r="C149" s="472">
        <f>IF(D93="","-",+C148+1)</f>
        <v>2064</v>
      </c>
      <c r="D149" s="347">
        <f>IF(F148+SUM(E$99:E148)=D$92,F148,D$92-SUM(E$99:E148))</f>
        <v>0</v>
      </c>
      <c r="E149" s="484">
        <f t="shared" si="28"/>
        <v>0</v>
      </c>
      <c r="F149" s="485">
        <f t="shared" si="29"/>
        <v>0</v>
      </c>
      <c r="G149" s="485">
        <f t="shared" si="30"/>
        <v>0</v>
      </c>
      <c r="H149" s="486">
        <f t="shared" si="31"/>
        <v>0</v>
      </c>
      <c r="I149" s="542">
        <f t="shared" si="32"/>
        <v>0</v>
      </c>
      <c r="J149" s="478">
        <f t="shared" si="22"/>
        <v>0</v>
      </c>
      <c r="K149" s="478"/>
      <c r="L149" s="487"/>
      <c r="M149" s="478">
        <f t="shared" si="34"/>
        <v>0</v>
      </c>
      <c r="N149" s="487"/>
      <c r="O149" s="478">
        <f t="shared" si="35"/>
        <v>0</v>
      </c>
      <c r="P149" s="478">
        <f t="shared" si="36"/>
        <v>0</v>
      </c>
    </row>
    <row r="150" spans="2:16">
      <c r="B150" s="160" t="str">
        <f t="shared" si="21"/>
        <v/>
      </c>
      <c r="C150" s="472">
        <f>IF(D93="","-",+C149+1)</f>
        <v>2065</v>
      </c>
      <c r="D150" s="347">
        <f>IF(F149+SUM(E$99:E149)=D$92,F149,D$92-SUM(E$99:E149))</f>
        <v>0</v>
      </c>
      <c r="E150" s="484">
        <f t="shared" si="28"/>
        <v>0</v>
      </c>
      <c r="F150" s="485">
        <f t="shared" si="29"/>
        <v>0</v>
      </c>
      <c r="G150" s="485">
        <f t="shared" si="30"/>
        <v>0</v>
      </c>
      <c r="H150" s="486">
        <f t="shared" si="31"/>
        <v>0</v>
      </c>
      <c r="I150" s="542">
        <f t="shared" si="32"/>
        <v>0</v>
      </c>
      <c r="J150" s="478">
        <f t="shared" si="22"/>
        <v>0</v>
      </c>
      <c r="K150" s="478"/>
      <c r="L150" s="487"/>
      <c r="M150" s="478">
        <f t="shared" si="34"/>
        <v>0</v>
      </c>
      <c r="N150" s="487"/>
      <c r="O150" s="478">
        <f t="shared" si="35"/>
        <v>0</v>
      </c>
      <c r="P150" s="478">
        <f t="shared" si="36"/>
        <v>0</v>
      </c>
    </row>
    <row r="151" spans="2:16">
      <c r="B151" s="160" t="str">
        <f t="shared" si="21"/>
        <v/>
      </c>
      <c r="C151" s="472">
        <f>IF(D93="","-",+C150+1)</f>
        <v>2066</v>
      </c>
      <c r="D151" s="347">
        <f>IF(F150+SUM(E$99:E150)=D$92,F150,D$92-SUM(E$99:E150))</f>
        <v>0</v>
      </c>
      <c r="E151" s="484">
        <f t="shared" si="28"/>
        <v>0</v>
      </c>
      <c r="F151" s="485">
        <f t="shared" si="29"/>
        <v>0</v>
      </c>
      <c r="G151" s="485">
        <f t="shared" si="30"/>
        <v>0</v>
      </c>
      <c r="H151" s="486">
        <f t="shared" si="31"/>
        <v>0</v>
      </c>
      <c r="I151" s="542">
        <f t="shared" si="32"/>
        <v>0</v>
      </c>
      <c r="J151" s="478">
        <f t="shared" si="22"/>
        <v>0</v>
      </c>
      <c r="K151" s="478"/>
      <c r="L151" s="487"/>
      <c r="M151" s="478">
        <f t="shared" si="34"/>
        <v>0</v>
      </c>
      <c r="N151" s="487"/>
      <c r="O151" s="478">
        <f t="shared" si="35"/>
        <v>0</v>
      </c>
      <c r="P151" s="478">
        <f t="shared" si="36"/>
        <v>0</v>
      </c>
    </row>
    <row r="152" spans="2:16">
      <c r="B152" s="160" t="str">
        <f t="shared" si="21"/>
        <v/>
      </c>
      <c r="C152" s="472">
        <f>IF(D93="","-",+C151+1)</f>
        <v>2067</v>
      </c>
      <c r="D152" s="347">
        <f>IF(F151+SUM(E$99:E151)=D$92,F151,D$92-SUM(E$99:E151))</f>
        <v>0</v>
      </c>
      <c r="E152" s="484">
        <f t="shared" si="28"/>
        <v>0</v>
      </c>
      <c r="F152" s="485">
        <f t="shared" si="29"/>
        <v>0</v>
      </c>
      <c r="G152" s="485">
        <f t="shared" si="30"/>
        <v>0</v>
      </c>
      <c r="H152" s="486">
        <f t="shared" si="31"/>
        <v>0</v>
      </c>
      <c r="I152" s="542">
        <f t="shared" si="32"/>
        <v>0</v>
      </c>
      <c r="J152" s="478">
        <f t="shared" si="22"/>
        <v>0</v>
      </c>
      <c r="K152" s="478"/>
      <c r="L152" s="487"/>
      <c r="M152" s="478">
        <f t="shared" si="34"/>
        <v>0</v>
      </c>
      <c r="N152" s="487"/>
      <c r="O152" s="478">
        <f t="shared" si="35"/>
        <v>0</v>
      </c>
      <c r="P152" s="478">
        <f t="shared" si="36"/>
        <v>0</v>
      </c>
    </row>
    <row r="153" spans="2:16">
      <c r="B153" s="160" t="str">
        <f t="shared" si="21"/>
        <v/>
      </c>
      <c r="C153" s="472">
        <f>IF(D93="","-",+C152+1)</f>
        <v>2068</v>
      </c>
      <c r="D153" s="347">
        <f>IF(F152+SUM(E$99:E152)=D$92,F152,D$92-SUM(E$99:E152))</f>
        <v>0</v>
      </c>
      <c r="E153" s="484">
        <f t="shared" si="28"/>
        <v>0</v>
      </c>
      <c r="F153" s="485">
        <f t="shared" si="29"/>
        <v>0</v>
      </c>
      <c r="G153" s="485">
        <f t="shared" si="30"/>
        <v>0</v>
      </c>
      <c r="H153" s="486">
        <f t="shared" si="31"/>
        <v>0</v>
      </c>
      <c r="I153" s="542">
        <f t="shared" si="32"/>
        <v>0</v>
      </c>
      <c r="J153" s="478">
        <f t="shared" si="22"/>
        <v>0</v>
      </c>
      <c r="K153" s="478"/>
      <c r="L153" s="487"/>
      <c r="M153" s="478">
        <f t="shared" si="34"/>
        <v>0</v>
      </c>
      <c r="N153" s="487"/>
      <c r="O153" s="478">
        <f t="shared" si="35"/>
        <v>0</v>
      </c>
      <c r="P153" s="478">
        <f t="shared" si="36"/>
        <v>0</v>
      </c>
    </row>
    <row r="154" spans="2:16" ht="13.5" thickBot="1">
      <c r="B154" s="160" t="str">
        <f t="shared" si="21"/>
        <v/>
      </c>
      <c r="C154" s="489">
        <f>IF(D93="","-",+C153+1)</f>
        <v>2069</v>
      </c>
      <c r="D154" s="576">
        <f>IF(F153+SUM(E$99:E153)=D$92,F153,D$92-SUM(E$99:E153))</f>
        <v>0</v>
      </c>
      <c r="E154" s="491">
        <f t="shared" si="28"/>
        <v>0</v>
      </c>
      <c r="F154" s="490">
        <f t="shared" si="29"/>
        <v>0</v>
      </c>
      <c r="G154" s="490">
        <f t="shared" si="30"/>
        <v>0</v>
      </c>
      <c r="H154" s="492">
        <f t="shared" ref="H154" si="37">+J$94*G154+E154</f>
        <v>0</v>
      </c>
      <c r="I154" s="545">
        <f t="shared" ref="I154" si="38">+J$95*G154+E154</f>
        <v>0</v>
      </c>
      <c r="J154" s="495">
        <f t="shared" si="22"/>
        <v>0</v>
      </c>
      <c r="K154" s="495"/>
      <c r="L154" s="494"/>
      <c r="M154" s="495">
        <f t="shared" si="34"/>
        <v>0</v>
      </c>
      <c r="N154" s="494"/>
      <c r="O154" s="495">
        <f t="shared" si="35"/>
        <v>0</v>
      </c>
      <c r="P154" s="495">
        <f t="shared" si="36"/>
        <v>0</v>
      </c>
    </row>
    <row r="155" spans="2:16">
      <c r="C155" s="347" t="s">
        <v>77</v>
      </c>
      <c r="D155" s="348"/>
      <c r="E155" s="348">
        <f>SUM(E99:E154)</f>
        <v>5059278</v>
      </c>
      <c r="F155" s="348"/>
      <c r="G155" s="348"/>
      <c r="H155" s="348">
        <f>SUM(H99:H154)</f>
        <v>17660080.054709099</v>
      </c>
      <c r="I155" s="348">
        <f>SUM(I99:I154)</f>
        <v>17660080.054709099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29" priority="1" stopIfTrue="1" operator="equal">
      <formula>$I$10</formula>
    </cfRule>
  </conditionalFormatting>
  <conditionalFormatting sqref="C99:C154">
    <cfRule type="cellIs" dxfId="28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8">
    <tabColor rgb="FFFFFF00"/>
  </sheetPr>
  <dimension ref="A1:S137"/>
  <sheetViews>
    <sheetView topLeftCell="J97" zoomScaleNormal="100" zoomScaleSheetLayoutView="80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16.140625" style="148" customWidth="1"/>
    <col min="10" max="10" width="2.1406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3.5703125" style="148" bestFit="1" customWidth="1"/>
    <col min="17" max="17" width="4.7109375" style="148" customWidth="1"/>
    <col min="18" max="18" width="15.42578125" style="148" customWidth="1"/>
    <col min="19" max="19" width="81.85546875" style="148" bestFit="1" customWidth="1"/>
    <col min="20" max="22" width="8.7109375" style="148"/>
    <col min="23" max="23" width="9.140625" style="148" customWidth="1"/>
    <col min="24" max="16384" width="8.7109375" style="148"/>
  </cols>
  <sheetData>
    <row r="1" spans="1:18" ht="18">
      <c r="A1" s="646" t="s">
        <v>123</v>
      </c>
      <c r="B1" s="647"/>
      <c r="C1" s="647"/>
      <c r="D1" s="647"/>
      <c r="E1" s="647"/>
      <c r="F1" s="647"/>
      <c r="G1" s="647"/>
      <c r="H1" s="647"/>
      <c r="I1" s="647"/>
      <c r="J1" s="647"/>
    </row>
    <row r="2" spans="1:18" ht="18">
      <c r="A2" s="648" t="str">
        <f>L19+1&amp;" Cost of Service Formula Rate Projected on "&amp;L19&amp;" FF1 Balances"</f>
        <v>2022 Cost of Service Formula Rate Projected on 2021 FF1 Balances</v>
      </c>
      <c r="B2" s="648"/>
      <c r="C2" s="648"/>
      <c r="D2" s="648"/>
      <c r="E2" s="648"/>
      <c r="F2" s="648"/>
      <c r="G2" s="648"/>
      <c r="H2" s="648"/>
      <c r="I2" s="648"/>
      <c r="J2" s="648"/>
    </row>
    <row r="3" spans="1:18" ht="18">
      <c r="A3" s="649" t="s">
        <v>140</v>
      </c>
      <c r="B3" s="648"/>
      <c r="C3" s="648"/>
      <c r="D3" s="648"/>
      <c r="E3" s="648"/>
      <c r="F3" s="648"/>
      <c r="G3" s="648"/>
      <c r="H3" s="648"/>
      <c r="I3" s="648"/>
      <c r="J3" s="648"/>
      <c r="Q3" s="240" t="s">
        <v>125</v>
      </c>
    </row>
    <row r="4" spans="1:18" ht="18">
      <c r="A4" s="648" t="str">
        <f>"Based on a Carrying Charge Derived from ""Historic"" "&amp;L19&amp;" Data"</f>
        <v>Based on a Carrying Charge Derived from "Historic" 2021 Data</v>
      </c>
      <c r="B4" s="648"/>
      <c r="C4" s="648"/>
      <c r="D4" s="648"/>
      <c r="E4" s="648"/>
      <c r="F4" s="648"/>
      <c r="G4" s="648"/>
      <c r="H4" s="648"/>
      <c r="I4" s="648"/>
      <c r="J4" s="648"/>
    </row>
    <row r="5" spans="1:18" ht="18">
      <c r="A5" s="650" t="s">
        <v>124</v>
      </c>
      <c r="B5" s="650"/>
      <c r="C5" s="650"/>
      <c r="D5" s="650"/>
      <c r="E5" s="650"/>
      <c r="F5" s="650"/>
      <c r="G5" s="650"/>
      <c r="H5" s="650"/>
      <c r="I5" s="650"/>
      <c r="J5" s="650"/>
    </row>
    <row r="6" spans="1:18">
      <c r="A6" s="233"/>
      <c r="B6" s="233"/>
      <c r="C6" s="233"/>
      <c r="D6" s="241"/>
      <c r="E6" s="233"/>
      <c r="F6" s="233"/>
      <c r="G6" s="233"/>
      <c r="H6" s="242"/>
      <c r="I6" s="233"/>
      <c r="J6" s="243"/>
    </row>
    <row r="7" spans="1:18">
      <c r="D7" s="160"/>
      <c r="H7" s="217"/>
      <c r="J7" s="195"/>
    </row>
    <row r="8" spans="1:18" ht="38.25" customHeight="1">
      <c r="B8" s="244" t="s">
        <v>0</v>
      </c>
      <c r="C8" s="642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643"/>
      <c r="E8" s="643"/>
      <c r="F8" s="643"/>
      <c r="G8" s="643"/>
      <c r="H8" s="643"/>
      <c r="J8" s="195"/>
      <c r="R8" s="235"/>
    </row>
    <row r="9" spans="1:18">
      <c r="D9" s="160"/>
      <c r="H9" s="217"/>
      <c r="J9" s="195"/>
    </row>
    <row r="10" spans="1:18" ht="15.75">
      <c r="C10" s="245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H10" s="217"/>
      <c r="J10" s="195"/>
      <c r="K10" s="246"/>
      <c r="L10" s="247"/>
    </row>
    <row r="11" spans="1:18">
      <c r="D11" s="160"/>
      <c r="H11" s="217"/>
      <c r="J11" s="195"/>
    </row>
    <row r="12" spans="1:18">
      <c r="C12" s="248" t="str">
        <f>S105</f>
        <v xml:space="preserve">   ROE w/o incentives  (Projected TCOS, ln 148)</v>
      </c>
      <c r="D12" s="160"/>
      <c r="E12" s="249"/>
      <c r="F12" s="250">
        <v>0.112</v>
      </c>
      <c r="G12" s="251"/>
      <c r="H12" s="252"/>
      <c r="I12" s="253"/>
      <c r="J12" s="254"/>
      <c r="K12" s="253"/>
      <c r="L12" s="253"/>
      <c r="M12" s="253"/>
      <c r="N12" s="253"/>
      <c r="O12" s="249"/>
      <c r="P12" s="253"/>
      <c r="Q12" s="233"/>
    </row>
    <row r="13" spans="1:18">
      <c r="C13" s="248" t="s">
        <v>1</v>
      </c>
      <c r="D13" s="160"/>
      <c r="E13" s="249"/>
      <c r="F13" s="255">
        <f>+R106</f>
        <v>0</v>
      </c>
      <c r="G13" s="148" t="s">
        <v>152</v>
      </c>
      <c r="K13" s="253"/>
      <c r="L13" s="253"/>
      <c r="M13" s="253"/>
      <c r="N13" s="253"/>
      <c r="O13" s="249"/>
      <c r="P13" s="253"/>
      <c r="Q13" s="233"/>
    </row>
    <row r="14" spans="1:18" ht="13.5" thickBot="1">
      <c r="C14" s="248" t="str">
        <f>"   ROE with additional "&amp;F13&amp;" basis point incentive"</f>
        <v xml:space="preserve">   ROE with additional 0 basis point incentive</v>
      </c>
      <c r="D14" s="249"/>
      <c r="E14" s="249"/>
      <c r="F14" s="256">
        <f>IF((F12+(F13/10000)&gt;0.1245),"ERROR",F12+(F13/10000))</f>
        <v>0.112</v>
      </c>
      <c r="G14" s="257" t="s">
        <v>2</v>
      </c>
      <c r="H14" s="253"/>
      <c r="I14" s="253"/>
      <c r="J14" s="254"/>
      <c r="K14" s="253"/>
      <c r="L14" s="253"/>
      <c r="M14" s="253"/>
      <c r="N14" s="253"/>
      <c r="O14" s="249"/>
      <c r="P14" s="253"/>
      <c r="Q14" s="233"/>
    </row>
    <row r="15" spans="1:18">
      <c r="C15" s="248" t="s">
        <v>231</v>
      </c>
      <c r="D15" s="160"/>
      <c r="E15" s="249"/>
      <c r="F15" s="256"/>
      <c r="G15" s="249"/>
      <c r="H15" s="253"/>
      <c r="I15" s="253"/>
      <c r="J15" s="254"/>
      <c r="K15" s="636" t="s">
        <v>3</v>
      </c>
      <c r="L15" s="637"/>
      <c r="M15" s="637"/>
      <c r="N15" s="637"/>
      <c r="O15" s="638"/>
      <c r="P15" s="253"/>
      <c r="Q15" s="233"/>
    </row>
    <row r="16" spans="1:18">
      <c r="C16" s="254"/>
      <c r="D16" s="258" t="s">
        <v>4</v>
      </c>
      <c r="E16" s="258" t="s">
        <v>5</v>
      </c>
      <c r="F16" s="259" t="s">
        <v>6</v>
      </c>
      <c r="G16" s="249"/>
      <c r="H16" s="253"/>
      <c r="I16" s="253"/>
      <c r="J16" s="254"/>
      <c r="K16" s="639"/>
      <c r="L16" s="640"/>
      <c r="M16" s="640"/>
      <c r="N16" s="640"/>
      <c r="O16" s="641"/>
      <c r="P16" s="253"/>
      <c r="Q16" s="233"/>
    </row>
    <row r="17" spans="3:17">
      <c r="C17" s="260" t="s">
        <v>7</v>
      </c>
      <c r="D17" s="261">
        <f>+R107</f>
        <v>0.49221422988540209</v>
      </c>
      <c r="E17" s="262">
        <f>+R108</f>
        <v>4.2554973149327033E-2</v>
      </c>
      <c r="F17" s="263">
        <f>E17*D17</f>
        <v>2.0946163336489968E-2</v>
      </c>
      <c r="G17" s="249"/>
      <c r="H17" s="253"/>
      <c r="I17" s="264"/>
      <c r="J17" s="265"/>
      <c r="K17" s="266"/>
      <c r="L17" s="267"/>
      <c r="M17" s="254" t="s">
        <v>8</v>
      </c>
      <c r="N17" s="254" t="s">
        <v>9</v>
      </c>
      <c r="O17" s="268" t="s">
        <v>10</v>
      </c>
      <c r="P17" s="253"/>
      <c r="Q17" s="233"/>
    </row>
    <row r="18" spans="3:17">
      <c r="C18" s="260" t="s">
        <v>11</v>
      </c>
      <c r="D18" s="261">
        <f>+R109</f>
        <v>0</v>
      </c>
      <c r="E18" s="262">
        <f>+R110</f>
        <v>0</v>
      </c>
      <c r="F18" s="263">
        <f>E18*D18</f>
        <v>0</v>
      </c>
      <c r="G18" s="269"/>
      <c r="H18" s="269"/>
      <c r="I18" s="270"/>
      <c r="J18" s="271"/>
      <c r="K18" s="272"/>
      <c r="L18" s="195"/>
      <c r="M18" s="195"/>
      <c r="N18" s="195"/>
      <c r="O18" s="273"/>
      <c r="P18" s="269"/>
      <c r="Q18" s="233"/>
    </row>
    <row r="19" spans="3:17" ht="13.5" thickBot="1">
      <c r="C19" s="274" t="s">
        <v>12</v>
      </c>
      <c r="D19" s="261">
        <f>+R111</f>
        <v>0.5077857701145978</v>
      </c>
      <c r="E19" s="262">
        <f>+F14</f>
        <v>0.112</v>
      </c>
      <c r="F19" s="275">
        <f>E19*D19</f>
        <v>5.6872006252834957E-2</v>
      </c>
      <c r="G19" s="269"/>
      <c r="H19" s="269"/>
      <c r="I19" s="256"/>
      <c r="J19" s="271"/>
      <c r="K19" s="276" t="s">
        <v>13</v>
      </c>
      <c r="L19" s="277">
        <f>R104</f>
        <v>2021</v>
      </c>
      <c r="M19" s="278">
        <f>SUM('P.001:P.xyz - blank'!N5)</f>
        <v>8270466.4672365077</v>
      </c>
      <c r="N19" s="278">
        <f>SUM('P.001:P.xyz - blank'!N6)</f>
        <v>8270466.4672365077</v>
      </c>
      <c r="O19" s="279">
        <f>+N19-M19</f>
        <v>0</v>
      </c>
      <c r="P19" s="270"/>
      <c r="Q19" s="233"/>
    </row>
    <row r="20" spans="3:17">
      <c r="C20" s="248"/>
      <c r="D20" s="249"/>
      <c r="E20" s="280" t="s">
        <v>14</v>
      </c>
      <c r="F20" s="263">
        <f>SUM(F17:F19)</f>
        <v>7.7818169589324929E-2</v>
      </c>
      <c r="G20" s="269"/>
      <c r="H20" s="269"/>
      <c r="I20" s="270"/>
      <c r="J20" s="271"/>
      <c r="M20" s="281" t="str">
        <f>IF(M19=SUM('P.001:P.xyz - blank'!N5),"","ERROR")</f>
        <v/>
      </c>
      <c r="N20" s="281" t="str">
        <f>IF(N19=SUM('P.001:P.xyz - blank'!N6),"","ERROR")</f>
        <v/>
      </c>
      <c r="O20" s="281" t="str">
        <f>IF(O19=SUM('P.001:P.xyz - blank'!N7),"","ERROR")</f>
        <v/>
      </c>
      <c r="P20" s="269"/>
      <c r="Q20" s="233"/>
    </row>
    <row r="21" spans="3:17">
      <c r="D21" s="282"/>
      <c r="E21" s="282"/>
      <c r="F21" s="269"/>
      <c r="G21" s="269"/>
      <c r="H21" s="269"/>
      <c r="I21" s="269"/>
      <c r="J21" s="283"/>
      <c r="K21" s="178" t="s">
        <v>15</v>
      </c>
      <c r="P21" s="269"/>
      <c r="Q21" s="233"/>
    </row>
    <row r="22" spans="3:17" ht="15.75">
      <c r="C22" s="245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2"/>
      <c r="E22" s="282"/>
      <c r="F22" s="284"/>
      <c r="G22" s="269"/>
      <c r="H22" s="249"/>
      <c r="I22" s="269"/>
      <c r="J22" s="283"/>
      <c r="K22" s="148" t="s">
        <v>16</v>
      </c>
      <c r="P22" s="269"/>
      <c r="Q22" s="233"/>
    </row>
    <row r="23" spans="3:17">
      <c r="C23" s="254"/>
      <c r="D23" s="282"/>
      <c r="E23" s="282"/>
      <c r="F23" s="283"/>
      <c r="G23" s="283"/>
      <c r="H23" s="283"/>
      <c r="I23" s="283"/>
      <c r="J23" s="283"/>
      <c r="K23" s="270"/>
      <c r="L23" s="285"/>
      <c r="M23" s="237"/>
      <c r="N23" s="270"/>
      <c r="O23" s="269"/>
      <c r="P23" s="283"/>
      <c r="Q23" s="243"/>
    </row>
    <row r="24" spans="3:17">
      <c r="C24" s="248" t="str">
        <f>+S112</f>
        <v xml:space="preserve">   Rate Base  (TCOS, ln 62)</v>
      </c>
      <c r="D24" s="249"/>
      <c r="E24" s="286">
        <f>+R112</f>
        <v>519813264.9647429</v>
      </c>
      <c r="F24" s="287"/>
      <c r="G24" s="283"/>
      <c r="H24" s="283"/>
      <c r="I24" s="283"/>
      <c r="J24" s="283"/>
      <c r="K24" s="283"/>
      <c r="L24" s="283"/>
      <c r="M24" s="283"/>
      <c r="N24" s="283"/>
      <c r="O24" s="283"/>
      <c r="P24" s="287"/>
      <c r="Q24" s="243"/>
    </row>
    <row r="25" spans="3:17">
      <c r="C25" s="254" t="s">
        <v>17</v>
      </c>
      <c r="D25" s="251"/>
      <c r="E25" s="288">
        <f>F20</f>
        <v>7.7818169589324929E-2</v>
      </c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43"/>
    </row>
    <row r="26" spans="3:17">
      <c r="C26" s="289" t="s">
        <v>18</v>
      </c>
      <c r="D26" s="289"/>
      <c r="E26" s="270">
        <f>E24*E25</f>
        <v>40450916.807807058</v>
      </c>
      <c r="F26" s="283"/>
      <c r="G26" s="283"/>
      <c r="H26" s="283"/>
      <c r="I26" s="271"/>
      <c r="J26" s="271"/>
      <c r="K26" s="271"/>
      <c r="L26" s="271"/>
      <c r="M26" s="283"/>
      <c r="N26" s="271"/>
      <c r="O26" s="283"/>
      <c r="P26" s="283"/>
      <c r="Q26" s="243"/>
    </row>
    <row r="27" spans="3:17">
      <c r="C27" s="290"/>
      <c r="D27" s="253"/>
      <c r="E27" s="253"/>
      <c r="F27" s="283"/>
      <c r="G27" s="283"/>
      <c r="H27" s="283"/>
      <c r="I27" s="271"/>
      <c r="J27" s="271"/>
      <c r="K27" s="271"/>
      <c r="L27" s="271"/>
      <c r="M27" s="283"/>
      <c r="N27" s="271"/>
      <c r="O27" s="283"/>
      <c r="P27" s="283"/>
      <c r="Q27" s="243"/>
    </row>
    <row r="28" spans="3:17" ht="15.75">
      <c r="C28" s="245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91"/>
      <c r="E28" s="291"/>
      <c r="F28" s="292"/>
      <c r="G28" s="292"/>
      <c r="H28" s="292"/>
      <c r="I28" s="293"/>
      <c r="J28" s="293"/>
      <c r="K28" s="293"/>
      <c r="L28" s="293"/>
      <c r="M28" s="283"/>
      <c r="N28" s="293"/>
      <c r="O28" s="292"/>
      <c r="P28" s="292"/>
      <c r="Q28" s="243"/>
    </row>
    <row r="29" spans="3:17">
      <c r="C29" s="248"/>
      <c r="D29" s="253"/>
      <c r="E29" s="253"/>
      <c r="F29" s="283"/>
      <c r="G29" s="283"/>
      <c r="H29" s="283"/>
      <c r="I29" s="271"/>
      <c r="J29" s="271"/>
      <c r="K29" s="271"/>
      <c r="L29" s="271"/>
      <c r="M29" s="283"/>
      <c r="N29" s="271"/>
      <c r="O29" s="283"/>
      <c r="P29" s="283"/>
      <c r="Q29" s="243"/>
    </row>
    <row r="30" spans="3:17">
      <c r="C30" s="254" t="s">
        <v>19</v>
      </c>
      <c r="D30" s="280"/>
      <c r="E30" s="294">
        <f>E26</f>
        <v>40450916.807807058</v>
      </c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43"/>
    </row>
    <row r="31" spans="3:17">
      <c r="C31" s="248" t="str">
        <f>+S113</f>
        <v xml:space="preserve">   Tax Rate  (TCOS, ln 97)</v>
      </c>
      <c r="D31" s="280"/>
      <c r="E31" s="295">
        <f>+R113</f>
        <v>0.25329199999999996</v>
      </c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43"/>
    </row>
    <row r="32" spans="3:17">
      <c r="C32" s="254" t="s">
        <v>20</v>
      </c>
      <c r="D32" s="241"/>
      <c r="E32" s="256">
        <f>IF(F17&gt;0,($E31/(1-$E31))*(1-$F17/$F20),0)</f>
        <v>0.24790666709520595</v>
      </c>
      <c r="F32" s="233"/>
      <c r="G32" s="256"/>
      <c r="H32" s="242"/>
      <c r="I32" s="233"/>
      <c r="J32" s="243"/>
      <c r="K32" s="233"/>
      <c r="L32" s="233"/>
      <c r="M32" s="233"/>
      <c r="N32" s="233"/>
      <c r="O32" s="233"/>
      <c r="P32" s="233"/>
      <c r="Q32" s="233"/>
    </row>
    <row r="33" spans="2:19">
      <c r="C33" s="289" t="s">
        <v>21</v>
      </c>
      <c r="D33" s="296"/>
      <c r="E33" s="297">
        <f>E30*E32</f>
        <v>10028051.966768896</v>
      </c>
      <c r="F33" s="297"/>
      <c r="G33" s="233"/>
      <c r="H33" s="242"/>
      <c r="I33" s="233"/>
      <c r="J33" s="243"/>
      <c r="K33" s="233"/>
      <c r="L33" s="233"/>
      <c r="M33" s="233"/>
      <c r="N33" s="233"/>
      <c r="O33" s="233"/>
      <c r="P33" s="233"/>
      <c r="Q33" s="233"/>
    </row>
    <row r="34" spans="2:19" ht="15">
      <c r="C34" s="248" t="str">
        <f>+S114</f>
        <v xml:space="preserve">   ITC Adjustment  (TCOS, ln 106)</v>
      </c>
      <c r="D34" s="298"/>
      <c r="E34" s="299">
        <f>+R114</f>
        <v>-478625.26595583552</v>
      </c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300"/>
      <c r="Q34" s="298"/>
    </row>
    <row r="35" spans="2:19" ht="15">
      <c r="C35" s="248" t="str">
        <f>+S115</f>
        <v xml:space="preserve">   Excess DFIT Adjustment  (TCOS, ln 107)</v>
      </c>
      <c r="D35" s="298"/>
      <c r="E35" s="299">
        <f>+R115</f>
        <v>-4278665.0203292314</v>
      </c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300"/>
      <c r="Q35" s="298"/>
    </row>
    <row r="36" spans="2:19" ht="15">
      <c r="C36" s="248" t="str">
        <f>+S116</f>
        <v xml:space="preserve">   Tax Effect of Permanent and Flow Through Differences  (TCOS, ln 108)</v>
      </c>
      <c r="D36" s="298"/>
      <c r="E36" s="299">
        <f>+R116</f>
        <v>69243.01065476732</v>
      </c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300"/>
      <c r="Q36" s="298"/>
    </row>
    <row r="37" spans="2:19" ht="15">
      <c r="C37" s="290" t="s">
        <v>22</v>
      </c>
      <c r="D37" s="298"/>
      <c r="E37" s="299">
        <f>E33+E34+E35+E36</f>
        <v>5340004.6911385963</v>
      </c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301"/>
      <c r="Q37" s="298"/>
    </row>
    <row r="38" spans="2:19" ht="12.75" customHeight="1">
      <c r="C38" s="302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301"/>
      <c r="Q38" s="298"/>
      <c r="R38" s="233"/>
      <c r="S38" s="233"/>
    </row>
    <row r="39" spans="2:19" ht="18.75">
      <c r="B39" s="303" t="s">
        <v>23</v>
      </c>
      <c r="C39" s="304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301"/>
      <c r="Q39" s="298"/>
      <c r="R39" s="233"/>
      <c r="S39" s="233"/>
    </row>
    <row r="40" spans="2:19" ht="15.75" customHeight="1">
      <c r="B40" s="303"/>
      <c r="C40" s="304" t="str">
        <f>"ROE increase."</f>
        <v>ROE increase.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301"/>
      <c r="Q40" s="298"/>
      <c r="R40" s="233"/>
      <c r="S40" s="233"/>
    </row>
    <row r="41" spans="2:19" ht="12.75" customHeight="1">
      <c r="C41" s="302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301"/>
      <c r="Q41" s="298"/>
      <c r="R41" s="233"/>
      <c r="S41" s="233"/>
    </row>
    <row r="42" spans="2:19" ht="15.75">
      <c r="C42" s="245" t="s">
        <v>24</v>
      </c>
      <c r="D42" s="298"/>
      <c r="E42" s="298"/>
      <c r="F42" s="305"/>
      <c r="G42" s="298"/>
      <c r="H42" s="298"/>
      <c r="I42" s="298"/>
      <c r="J42" s="298"/>
      <c r="K42" s="298"/>
      <c r="L42" s="298"/>
      <c r="M42" s="298"/>
      <c r="N42" s="298"/>
      <c r="O42" s="298"/>
      <c r="P42" s="301"/>
      <c r="Q42" s="298"/>
      <c r="R42" s="233"/>
      <c r="S42" s="233"/>
    </row>
    <row r="43" spans="2:19">
      <c r="B43" s="233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299"/>
      <c r="Q43" s="307"/>
      <c r="R43" s="233"/>
      <c r="S43" s="233"/>
    </row>
    <row r="44" spans="2:19" ht="12.75" customHeight="1">
      <c r="B44" s="233"/>
      <c r="C44" s="248" t="str">
        <f>+S117</f>
        <v xml:space="preserve">   Net Revenue Requirement  (TCOS, ln 115)</v>
      </c>
      <c r="D44" s="307"/>
      <c r="E44" s="307"/>
      <c r="F44" s="299">
        <f>+R117</f>
        <v>99419627.839597642</v>
      </c>
      <c r="G44" s="307"/>
      <c r="H44" s="307"/>
      <c r="I44" s="307"/>
      <c r="J44" s="307"/>
      <c r="K44" s="307"/>
      <c r="L44" s="307"/>
      <c r="M44" s="307"/>
      <c r="N44" s="307"/>
      <c r="O44" s="307"/>
      <c r="P44" s="299"/>
      <c r="Q44" s="307"/>
      <c r="R44" s="233"/>
      <c r="S44" s="233"/>
    </row>
    <row r="45" spans="2:19">
      <c r="B45" s="233"/>
      <c r="C45" s="248" t="str">
        <f>+S118</f>
        <v xml:space="preserve">   Return  (TCOS, ln 110)</v>
      </c>
      <c r="D45" s="307"/>
      <c r="E45" s="307"/>
      <c r="F45" s="308">
        <f>+R118</f>
        <v>38603240.354345709</v>
      </c>
      <c r="G45" s="309"/>
      <c r="H45" s="309"/>
      <c r="I45" s="309"/>
      <c r="J45" s="309"/>
      <c r="K45" s="309"/>
      <c r="L45" s="309"/>
      <c r="M45" s="309"/>
      <c r="N45" s="309"/>
      <c r="O45" s="309"/>
      <c r="P45" s="299"/>
      <c r="Q45" s="307"/>
      <c r="R45" s="233"/>
      <c r="S45" s="233"/>
    </row>
    <row r="46" spans="2:19">
      <c r="B46" s="233"/>
      <c r="C46" s="248" t="str">
        <f>+S119</f>
        <v xml:space="preserve">   Income Taxes  (TCOS, ln 109)</v>
      </c>
      <c r="D46" s="307"/>
      <c r="E46" s="307"/>
      <c r="F46" s="299">
        <f>+R119</f>
        <v>4713251.443215535</v>
      </c>
      <c r="G46" s="307"/>
      <c r="H46" s="307"/>
      <c r="I46" s="310"/>
      <c r="J46" s="310"/>
      <c r="K46" s="310"/>
      <c r="L46" s="310"/>
      <c r="M46" s="310"/>
      <c r="N46" s="310"/>
      <c r="O46" s="307"/>
      <c r="P46" s="307"/>
      <c r="Q46" s="307"/>
      <c r="R46" s="233"/>
      <c r="S46" s="233"/>
    </row>
    <row r="47" spans="2:19">
      <c r="B47" s="233"/>
      <c r="C47" s="306" t="str">
        <f>+S120</f>
        <v xml:space="preserve">  Gross Margin Taxes  (TCOS, ln 114)</v>
      </c>
      <c r="D47" s="307"/>
      <c r="E47" s="307"/>
      <c r="F47" s="311">
        <f>+R120</f>
        <v>0</v>
      </c>
      <c r="G47" s="307"/>
      <c r="H47" s="307"/>
      <c r="I47" s="310"/>
      <c r="J47" s="310"/>
      <c r="K47" s="310"/>
      <c r="L47" s="310"/>
      <c r="M47" s="310"/>
      <c r="N47" s="310"/>
      <c r="O47" s="307"/>
      <c r="P47" s="307"/>
      <c r="Q47" s="307"/>
      <c r="R47" s="233"/>
      <c r="S47" s="233"/>
    </row>
    <row r="48" spans="2:19">
      <c r="B48" s="233"/>
      <c r="C48" s="312" t="s">
        <v>25</v>
      </c>
      <c r="D48" s="307"/>
      <c r="E48" s="307"/>
      <c r="F48" s="308">
        <f>F44-F45-F46-F47</f>
        <v>56103136.042036399</v>
      </c>
      <c r="G48" s="313"/>
      <c r="H48" s="307"/>
      <c r="I48" s="313"/>
      <c r="J48" s="313"/>
      <c r="K48" s="313"/>
      <c r="L48" s="313"/>
      <c r="M48" s="313"/>
      <c r="N48" s="313"/>
      <c r="O48" s="307"/>
      <c r="P48" s="313"/>
      <c r="Q48" s="307"/>
      <c r="R48" s="233"/>
      <c r="S48" s="233"/>
    </row>
    <row r="49" spans="2:19">
      <c r="B49" s="233"/>
      <c r="C49" s="306"/>
      <c r="D49" s="307"/>
      <c r="E49" s="307"/>
      <c r="F49" s="299"/>
      <c r="G49" s="314"/>
      <c r="H49" s="315"/>
      <c r="I49" s="315"/>
      <c r="J49" s="315"/>
      <c r="K49" s="315"/>
      <c r="L49" s="315"/>
      <c r="M49" s="315"/>
      <c r="N49" s="315"/>
      <c r="O49" s="316"/>
      <c r="P49" s="315"/>
      <c r="Q49" s="317"/>
      <c r="R49" s="233"/>
      <c r="S49" s="233"/>
    </row>
    <row r="50" spans="2:19" ht="15.75">
      <c r="B50" s="233"/>
      <c r="C50" s="245" t="str">
        <f>"B.   Determine Net Revenue Requirement with hypothetical "&amp;F13&amp;" basis point increase in ROE."</f>
        <v>B.   Determine Net Revenue Requirement with hypothetical 0 basis point increase in ROE.</v>
      </c>
      <c r="D50" s="316"/>
      <c r="E50" s="316"/>
      <c r="F50" s="299"/>
      <c r="G50" s="314"/>
      <c r="H50" s="315"/>
      <c r="I50" s="315"/>
      <c r="J50" s="315"/>
      <c r="K50" s="315"/>
      <c r="L50" s="315"/>
      <c r="M50" s="315"/>
      <c r="N50" s="315"/>
      <c r="O50" s="316"/>
      <c r="P50" s="315"/>
      <c r="Q50" s="307"/>
    </row>
    <row r="51" spans="2:19">
      <c r="B51" s="233"/>
      <c r="C51" s="306"/>
      <c r="D51" s="316"/>
      <c r="E51" s="316"/>
      <c r="F51" s="299"/>
      <c r="G51" s="314"/>
      <c r="H51" s="315"/>
      <c r="I51" s="315"/>
      <c r="J51" s="315"/>
      <c r="K51" s="315"/>
      <c r="L51" s="315"/>
      <c r="M51" s="315"/>
      <c r="N51" s="315"/>
      <c r="O51" s="316"/>
      <c r="P51" s="315"/>
      <c r="Q51" s="307"/>
    </row>
    <row r="52" spans="2:19">
      <c r="B52" s="233"/>
      <c r="C52" s="306" t="str">
        <f>C48</f>
        <v xml:space="preserve">   Net Revenue Requirement, Less Return and Taxes</v>
      </c>
      <c r="D52" s="316"/>
      <c r="E52" s="316"/>
      <c r="F52" s="299">
        <f>F48</f>
        <v>56103136.042036399</v>
      </c>
      <c r="G52" s="307"/>
      <c r="H52" s="307"/>
      <c r="I52" s="307"/>
      <c r="J52" s="307"/>
      <c r="K52" s="307"/>
      <c r="L52" s="307"/>
      <c r="M52" s="307"/>
      <c r="N52" s="307"/>
      <c r="O52" s="318"/>
      <c r="P52" s="319"/>
      <c r="Q52" s="320"/>
    </row>
    <row r="53" spans="2:19">
      <c r="B53" s="233"/>
      <c r="C53" s="254" t="s">
        <v>103</v>
      </c>
      <c r="D53" s="321"/>
      <c r="E53" s="312"/>
      <c r="F53" s="322">
        <f>E26</f>
        <v>40450916.807807058</v>
      </c>
      <c r="G53" s="312"/>
      <c r="H53" s="323"/>
      <c r="I53" s="312"/>
      <c r="J53" s="312"/>
      <c r="K53" s="312"/>
      <c r="L53" s="312"/>
      <c r="M53" s="312"/>
      <c r="N53" s="312"/>
      <c r="O53" s="312"/>
      <c r="P53" s="312"/>
      <c r="Q53" s="312"/>
    </row>
    <row r="54" spans="2:19" ht="12.75" customHeight="1">
      <c r="B54" s="233"/>
      <c r="C54" s="248" t="s">
        <v>26</v>
      </c>
      <c r="D54" s="307"/>
      <c r="E54" s="307"/>
      <c r="F54" s="324">
        <f>E37</f>
        <v>5340004.6911385963</v>
      </c>
      <c r="G54" s="233"/>
      <c r="H54" s="242"/>
      <c r="I54" s="233"/>
      <c r="J54" s="243"/>
      <c r="K54" s="233"/>
      <c r="L54" s="233"/>
      <c r="M54" s="233"/>
      <c r="N54" s="233"/>
      <c r="O54" s="233"/>
      <c r="P54" s="233"/>
      <c r="Q54" s="233"/>
    </row>
    <row r="55" spans="2:19">
      <c r="B55" s="233"/>
      <c r="C55" s="312" t="str">
        <f>"   Net Revenue Requirement, with "&amp;F13&amp;" Basis Point ROE increase"</f>
        <v xml:space="preserve">   Net Revenue Requirement, with 0 Basis Point ROE increase</v>
      </c>
      <c r="D55" s="241"/>
      <c r="E55" s="233"/>
      <c r="F55" s="297">
        <f>SUM(F52:F54)</f>
        <v>101894057.54098205</v>
      </c>
      <c r="G55" s="233"/>
      <c r="H55" s="242"/>
      <c r="I55" s="233"/>
      <c r="J55" s="243"/>
      <c r="K55" s="233"/>
      <c r="L55" s="233"/>
      <c r="M55" s="233"/>
      <c r="N55" s="233"/>
      <c r="O55" s="233"/>
      <c r="P55" s="233"/>
      <c r="Q55" s="233"/>
      <c r="R55" s="233"/>
      <c r="S55" s="233"/>
    </row>
    <row r="56" spans="2:19">
      <c r="B56" s="233"/>
      <c r="C56" s="325" t="str">
        <f>"   Gross Margin Tax with "&amp;F13&amp;" Basis Point ROE Increase (II C. below)"</f>
        <v xml:space="preserve">   Gross Margin Tax with 0 Basis Point ROE Increase (II C. below)</v>
      </c>
      <c r="D56" s="326"/>
      <c r="E56" s="326"/>
      <c r="F56" s="327">
        <f>+F71</f>
        <v>0</v>
      </c>
      <c r="G56" s="233"/>
      <c r="H56" s="242"/>
      <c r="I56" s="233"/>
      <c r="J56" s="243"/>
      <c r="K56" s="233"/>
      <c r="L56" s="233"/>
      <c r="M56" s="233"/>
      <c r="N56" s="233"/>
      <c r="O56" s="233"/>
      <c r="P56" s="233"/>
      <c r="Q56" s="233"/>
      <c r="R56" s="233"/>
      <c r="S56" s="233"/>
    </row>
    <row r="57" spans="2:19">
      <c r="B57" s="233"/>
      <c r="C57" s="312" t="s">
        <v>27</v>
      </c>
      <c r="D57" s="241"/>
      <c r="E57" s="233"/>
      <c r="F57" s="328">
        <f>+F55+F56</f>
        <v>101894057.54098205</v>
      </c>
      <c r="G57" s="233"/>
      <c r="H57" s="242"/>
      <c r="I57" s="233"/>
      <c r="J57" s="243"/>
      <c r="K57" s="233"/>
      <c r="L57" s="233"/>
      <c r="M57" s="233"/>
      <c r="N57" s="233"/>
      <c r="O57" s="233"/>
      <c r="P57" s="233"/>
      <c r="Q57" s="233"/>
      <c r="R57" s="233"/>
      <c r="S57" s="233"/>
    </row>
    <row r="58" spans="2:19">
      <c r="B58" s="233"/>
      <c r="C58" s="248" t="str">
        <f>+S121</f>
        <v xml:space="preserve">   Less: Depreciation  (TCOS, ln 84)</v>
      </c>
      <c r="D58" s="241"/>
      <c r="E58" s="233"/>
      <c r="F58" s="329">
        <f>+R121</f>
        <v>20923010.994146973</v>
      </c>
      <c r="G58" s="233"/>
      <c r="H58" s="242"/>
      <c r="I58" s="233"/>
      <c r="J58" s="243"/>
      <c r="K58" s="233"/>
      <c r="L58" s="233"/>
      <c r="M58" s="233"/>
      <c r="N58" s="233"/>
      <c r="O58" s="233"/>
      <c r="P58" s="233"/>
      <c r="Q58" s="233"/>
      <c r="R58" s="233"/>
      <c r="S58" s="233"/>
    </row>
    <row r="59" spans="2:19">
      <c r="B59" s="233"/>
      <c r="C59" s="312" t="str">
        <f>"   Net Rev. Req, w/"&amp;F13&amp;" Basis Point ROE increase, less Depreciation"</f>
        <v xml:space="preserve">   Net Rev. Req, w/0 Basis Point ROE increase, less Depreciation</v>
      </c>
      <c r="D59" s="241"/>
      <c r="E59" s="233"/>
      <c r="F59" s="297">
        <f>F57-F58</f>
        <v>80971046.54683508</v>
      </c>
      <c r="G59" s="233"/>
      <c r="H59" s="242"/>
      <c r="I59" s="233"/>
      <c r="J59" s="243"/>
      <c r="K59" s="233"/>
      <c r="L59" s="233"/>
      <c r="M59" s="233"/>
      <c r="N59" s="233"/>
      <c r="O59" s="233"/>
      <c r="P59" s="233"/>
      <c r="Q59" s="233"/>
      <c r="R59" s="233"/>
      <c r="S59" s="233"/>
    </row>
    <row r="60" spans="2:19">
      <c r="B60" s="233"/>
      <c r="C60" s="233"/>
      <c r="D60" s="241"/>
      <c r="E60" s="233"/>
      <c r="F60" s="233"/>
      <c r="G60" s="233"/>
      <c r="H60" s="242"/>
      <c r="I60" s="233"/>
      <c r="J60" s="243"/>
      <c r="K60" s="233"/>
      <c r="L60" s="233"/>
      <c r="M60" s="233"/>
      <c r="N60" s="233"/>
      <c r="O60" s="233"/>
      <c r="P60" s="233"/>
      <c r="Q60" s="233"/>
      <c r="R60" s="233"/>
      <c r="S60" s="233"/>
    </row>
    <row r="61" spans="2:19" ht="15.75">
      <c r="B61" s="330"/>
      <c r="C61" s="331" t="str">
        <f>"C.   Determine Gross Margin Tax with hypothetical "&amp;F13&amp;" basis point increase in ROE."</f>
        <v>C.   Determine Gross Margin Tax with hypothetical 0 basis point increase in ROE.</v>
      </c>
      <c r="D61" s="332"/>
      <c r="E61" s="332"/>
      <c r="F61" s="333"/>
      <c r="G61" s="330"/>
      <c r="H61" s="334"/>
      <c r="I61" s="330"/>
      <c r="J61" s="243"/>
      <c r="K61" s="233"/>
      <c r="L61" s="233"/>
      <c r="M61" s="233"/>
      <c r="N61" s="233"/>
      <c r="O61" s="233"/>
      <c r="P61" s="233"/>
      <c r="Q61" s="233"/>
      <c r="R61" s="233"/>
      <c r="S61" s="233"/>
    </row>
    <row r="62" spans="2:19">
      <c r="B62" s="330"/>
      <c r="C62" s="325" t="str">
        <f>"   Net Revenue Requirement before Gross Margin Taxes, with "&amp;F13&amp;" "</f>
        <v xml:space="preserve">   Net Revenue Requirement before Gross Margin Taxes, with 0 </v>
      </c>
      <c r="D62" s="332"/>
      <c r="E62" s="332"/>
      <c r="F62" s="333">
        <f>+F55</f>
        <v>101894057.54098205</v>
      </c>
      <c r="G62" s="330"/>
      <c r="H62" s="334"/>
      <c r="I62" s="330"/>
      <c r="J62" s="243"/>
      <c r="K62" s="233"/>
      <c r="L62" s="233"/>
      <c r="M62" s="233"/>
      <c r="N62" s="233"/>
      <c r="O62" s="233"/>
      <c r="P62" s="233"/>
      <c r="Q62" s="233"/>
      <c r="R62" s="233"/>
      <c r="S62" s="233"/>
    </row>
    <row r="63" spans="2:19">
      <c r="B63" s="330"/>
      <c r="C63" s="325" t="s">
        <v>28</v>
      </c>
      <c r="D63" s="332"/>
      <c r="E63" s="332"/>
      <c r="F63" s="333"/>
      <c r="G63" s="330"/>
      <c r="H63" s="334"/>
      <c r="I63" s="330"/>
      <c r="J63" s="243"/>
      <c r="K63" s="233"/>
      <c r="L63" s="233"/>
      <c r="M63" s="233"/>
      <c r="N63" s="233"/>
      <c r="O63" s="233"/>
      <c r="P63" s="233"/>
      <c r="Q63" s="233"/>
      <c r="R63" s="233"/>
      <c r="S63" s="233"/>
    </row>
    <row r="64" spans="2:19">
      <c r="B64" s="330"/>
      <c r="C64" s="312" t="str">
        <f>+S122</f>
        <v xml:space="preserve">       Apportionment Factor to Texas (Worksheet K, ln 12)</v>
      </c>
      <c r="D64" s="296"/>
      <c r="E64" s="330"/>
      <c r="F64" s="335">
        <f>+R122</f>
        <v>0</v>
      </c>
      <c r="G64" s="330"/>
      <c r="H64" s="334"/>
      <c r="I64" s="330"/>
      <c r="J64" s="243"/>
      <c r="K64" s="233"/>
      <c r="L64" s="233"/>
      <c r="M64" s="233"/>
      <c r="N64" s="233"/>
      <c r="O64" s="233"/>
      <c r="P64" s="233"/>
      <c r="Q64" s="233"/>
      <c r="R64" s="233"/>
      <c r="S64" s="233"/>
    </row>
    <row r="65" spans="2:19">
      <c r="B65" s="330"/>
      <c r="C65" s="312" t="s">
        <v>29</v>
      </c>
      <c r="D65" s="296"/>
      <c r="E65" s="330"/>
      <c r="F65" s="333">
        <f>+F62*F64</f>
        <v>0</v>
      </c>
      <c r="G65" s="330"/>
      <c r="H65" s="334"/>
      <c r="I65" s="330"/>
      <c r="J65" s="243"/>
      <c r="K65" s="233"/>
      <c r="L65" s="233"/>
      <c r="M65" s="233"/>
      <c r="N65" s="233"/>
      <c r="O65" s="233"/>
      <c r="P65" s="233"/>
      <c r="Q65" s="233"/>
      <c r="R65" s="233"/>
      <c r="S65" s="233"/>
    </row>
    <row r="66" spans="2:19">
      <c r="B66" s="330"/>
      <c r="C66" s="312" t="s">
        <v>288</v>
      </c>
      <c r="D66" s="296"/>
      <c r="E66" s="330"/>
      <c r="F66" s="336">
        <v>0.22</v>
      </c>
      <c r="G66" s="330"/>
      <c r="H66" s="334"/>
      <c r="I66" s="330"/>
      <c r="J66" s="243"/>
      <c r="K66" s="233"/>
      <c r="L66" s="233"/>
      <c r="M66" s="233"/>
      <c r="N66" s="233"/>
      <c r="O66" s="233"/>
      <c r="P66" s="233"/>
      <c r="Q66" s="233"/>
      <c r="R66" s="233"/>
      <c r="S66" s="233"/>
    </row>
    <row r="67" spans="2:19">
      <c r="B67" s="330"/>
      <c r="C67" s="312" t="s">
        <v>30</v>
      </c>
      <c r="D67" s="296"/>
      <c r="E67" s="330"/>
      <c r="F67" s="333">
        <f>+F65*F66</f>
        <v>0</v>
      </c>
      <c r="G67" s="330"/>
      <c r="H67" s="334"/>
      <c r="I67" s="330"/>
      <c r="J67" s="243"/>
      <c r="K67" s="233"/>
      <c r="L67" s="233"/>
      <c r="M67" s="233"/>
      <c r="N67" s="233"/>
      <c r="O67" s="233"/>
      <c r="P67" s="233"/>
      <c r="Q67" s="233"/>
      <c r="R67" s="233"/>
      <c r="S67" s="233"/>
    </row>
    <row r="68" spans="2:19">
      <c r="B68" s="330"/>
      <c r="C68" s="312" t="s">
        <v>31</v>
      </c>
      <c r="D68" s="296"/>
      <c r="E68" s="330"/>
      <c r="F68" s="336">
        <v>0.01</v>
      </c>
      <c r="G68" s="330"/>
      <c r="H68" s="334"/>
      <c r="I68" s="330"/>
      <c r="J68" s="243"/>
      <c r="K68" s="233"/>
      <c r="L68" s="233"/>
      <c r="M68" s="233"/>
      <c r="N68" s="233"/>
      <c r="O68" s="233"/>
      <c r="P68" s="233"/>
      <c r="Q68" s="233"/>
      <c r="R68" s="233"/>
      <c r="S68" s="233"/>
    </row>
    <row r="69" spans="2:19">
      <c r="B69" s="330"/>
      <c r="C69" s="312" t="s">
        <v>32</v>
      </c>
      <c r="D69" s="296"/>
      <c r="E69" s="330"/>
      <c r="F69" s="333">
        <f>+F67*F68</f>
        <v>0</v>
      </c>
      <c r="G69" s="330"/>
      <c r="H69" s="334"/>
      <c r="I69" s="330"/>
      <c r="J69" s="243"/>
      <c r="K69" s="233"/>
      <c r="L69" s="233"/>
      <c r="M69" s="233"/>
      <c r="N69" s="233"/>
      <c r="O69" s="233"/>
      <c r="P69" s="233"/>
      <c r="Q69" s="233"/>
      <c r="R69" s="233"/>
      <c r="S69" s="233"/>
    </row>
    <row r="70" spans="2:19">
      <c r="B70" s="330"/>
      <c r="C70" s="312" t="s">
        <v>33</v>
      </c>
      <c r="D70" s="296"/>
      <c r="E70" s="330"/>
      <c r="F70" s="337">
        <f>+ROUND((F69*F66*F64)/(1-F68)*F68,0)</f>
        <v>0</v>
      </c>
      <c r="G70" s="330"/>
      <c r="H70" s="334"/>
      <c r="I70" s="330"/>
      <c r="J70" s="243"/>
      <c r="K70" s="233"/>
      <c r="L70" s="233"/>
      <c r="M70" s="233"/>
      <c r="N70" s="233"/>
      <c r="O70" s="233"/>
      <c r="P70" s="233"/>
      <c r="Q70" s="233"/>
      <c r="R70" s="233"/>
      <c r="S70" s="233"/>
    </row>
    <row r="71" spans="2:19">
      <c r="B71" s="330"/>
      <c r="C71" s="312" t="s">
        <v>34</v>
      </c>
      <c r="D71" s="296"/>
      <c r="E71" s="330"/>
      <c r="F71" s="333">
        <f>+F69+F70</f>
        <v>0</v>
      </c>
      <c r="G71" s="330"/>
      <c r="H71" s="334"/>
      <c r="I71" s="330"/>
      <c r="J71" s="243"/>
      <c r="K71" s="233"/>
      <c r="L71" s="233"/>
      <c r="M71" s="233"/>
      <c r="N71" s="233"/>
      <c r="O71" s="233"/>
      <c r="P71" s="233"/>
      <c r="Q71" s="233"/>
      <c r="R71" s="233"/>
      <c r="S71" s="233"/>
    </row>
    <row r="72" spans="2:19">
      <c r="B72" s="233"/>
      <c r="C72" s="233"/>
      <c r="D72" s="241"/>
      <c r="E72" s="233"/>
      <c r="F72" s="233"/>
      <c r="G72" s="233"/>
      <c r="H72" s="242"/>
      <c r="I72" s="233"/>
      <c r="J72" s="243"/>
      <c r="K72" s="233"/>
      <c r="L72" s="233"/>
      <c r="M72" s="233"/>
      <c r="N72" s="233"/>
      <c r="O72" s="233"/>
      <c r="P72" s="233"/>
      <c r="Q72" s="233"/>
      <c r="R72" s="233"/>
      <c r="S72" s="233"/>
    </row>
    <row r="73" spans="2:19" ht="15.75">
      <c r="B73" s="233"/>
      <c r="C73" s="245" t="str">
        <f>"D.   Determine FCR with hypothetical "&amp;F13&amp;" basis point ROE increase."</f>
        <v>D.   Determine FCR with hypothetical 0 basis point ROE increase.</v>
      </c>
      <c r="D73" s="241"/>
      <c r="E73" s="233"/>
      <c r="F73" s="233"/>
      <c r="G73" s="233"/>
      <c r="H73" s="242"/>
      <c r="I73" s="233"/>
      <c r="J73" s="243"/>
      <c r="K73" s="233"/>
      <c r="L73" s="233"/>
      <c r="M73" s="233"/>
      <c r="N73" s="233"/>
      <c r="O73" s="233"/>
      <c r="P73" s="233"/>
      <c r="Q73" s="233"/>
      <c r="R73" s="233"/>
      <c r="S73" s="233"/>
    </row>
    <row r="74" spans="2:19">
      <c r="B74" s="233"/>
      <c r="C74" s="233"/>
      <c r="D74" s="241"/>
      <c r="E74" s="233"/>
      <c r="F74" s="233"/>
      <c r="G74" s="233"/>
      <c r="H74" s="242"/>
      <c r="I74" s="233"/>
      <c r="J74" s="243"/>
      <c r="K74" s="233"/>
      <c r="L74" s="233"/>
      <c r="M74" s="233"/>
      <c r="N74" s="233"/>
      <c r="O74" s="233"/>
      <c r="P74" s="233"/>
      <c r="Q74" s="233"/>
      <c r="R74" s="233"/>
      <c r="S74" s="233"/>
    </row>
    <row r="75" spans="2:19">
      <c r="B75" s="233"/>
      <c r="C75" s="248" t="str">
        <f>+S123</f>
        <v xml:space="preserve">   Net Transmission Plant  (TCOS, ln 37)</v>
      </c>
      <c r="D75" s="241"/>
      <c r="E75" s="233"/>
      <c r="F75" s="297">
        <f>+R123</f>
        <v>682245064.30034721</v>
      </c>
      <c r="G75" s="246"/>
      <c r="H75" s="217"/>
      <c r="J75" s="195"/>
      <c r="P75" s="233"/>
      <c r="Q75" s="233"/>
      <c r="R75" s="233"/>
      <c r="S75" s="233"/>
    </row>
    <row r="76" spans="2:19">
      <c r="B76" s="233"/>
      <c r="C76" s="312" t="str">
        <f>"   Net Revenue Requirement, with "&amp;F13&amp;" Basis Point ROE increase"</f>
        <v xml:space="preserve">   Net Revenue Requirement, with 0 Basis Point ROE increase</v>
      </c>
      <c r="D76" s="241"/>
      <c r="E76" s="233"/>
      <c r="F76" s="338">
        <f>F55</f>
        <v>101894057.54098205</v>
      </c>
      <c r="H76" s="217"/>
      <c r="J76" s="195"/>
      <c r="P76" s="233"/>
      <c r="Q76" s="233"/>
      <c r="R76" s="233"/>
      <c r="S76" s="233"/>
    </row>
    <row r="77" spans="2:19">
      <c r="B77" s="233"/>
      <c r="C77" s="312" t="str">
        <f>"   FCR with "&amp;F13&amp;" Basis Point increase in ROE"</f>
        <v xml:space="preserve">   FCR with 0 Basis Point increase in ROE</v>
      </c>
      <c r="D77" s="241"/>
      <c r="E77" s="233"/>
      <c r="F77" s="339">
        <f>IF(F75=0,0,F76/F75)</f>
        <v>0.14935110984712799</v>
      </c>
      <c r="H77" s="217"/>
      <c r="J77" s="195"/>
      <c r="P77" s="233"/>
      <c r="Q77" s="233"/>
      <c r="R77" s="233"/>
      <c r="S77" s="233"/>
    </row>
    <row r="78" spans="2:19">
      <c r="B78" s="233"/>
      <c r="D78" s="241"/>
      <c r="E78" s="233"/>
      <c r="F78" s="330"/>
      <c r="H78" s="217"/>
      <c r="J78" s="195"/>
      <c r="P78" s="233"/>
      <c r="Q78" s="233"/>
      <c r="R78" s="233"/>
      <c r="S78" s="233"/>
    </row>
    <row r="79" spans="2:19">
      <c r="B79" s="233"/>
      <c r="C79" s="312" t="str">
        <f>"   Net Rev. Req, w / "&amp;F13&amp;" Basis Point ROE increase, less Dep."</f>
        <v xml:space="preserve">   Net Rev. Req, w / 0 Basis Point ROE increase, less Dep.</v>
      </c>
      <c r="D79" s="241"/>
      <c r="E79" s="233"/>
      <c r="F79" s="297">
        <f>F59</f>
        <v>80971046.54683508</v>
      </c>
      <c r="G79" s="246"/>
      <c r="H79" s="217"/>
      <c r="J79" s="195"/>
      <c r="P79" s="233"/>
      <c r="Q79" s="233"/>
      <c r="R79" s="233"/>
      <c r="S79" s="233"/>
    </row>
    <row r="80" spans="2:19">
      <c r="B80" s="233"/>
      <c r="C80" s="312" t="str">
        <f>"   FCR with "&amp;F13&amp;" Basis Point ROE increase, less Depreciation"</f>
        <v xml:space="preserve">   FCR with 0 Basis Point ROE increase, less Depreciation</v>
      </c>
      <c r="D80" s="241"/>
      <c r="E80" s="233"/>
      <c r="F80" s="339">
        <f>IF(F75=0,0,F79/F75)</f>
        <v>0.11868322804192381</v>
      </c>
      <c r="G80" s="339"/>
      <c r="H80" s="217"/>
      <c r="J80" s="195"/>
      <c r="P80" s="233"/>
      <c r="Q80" s="233"/>
      <c r="R80" s="233"/>
      <c r="S80" s="233"/>
    </row>
    <row r="81" spans="2:19">
      <c r="B81" s="233"/>
      <c r="C81" s="248" t="str">
        <f>+S124</f>
        <v xml:space="preserve">   FCR less Depreciation  (Projected TCOS, ln 12)</v>
      </c>
      <c r="D81" s="241"/>
      <c r="E81" s="233"/>
      <c r="F81" s="340">
        <f>+R124</f>
        <v>0.11505633525681883</v>
      </c>
      <c r="H81" s="217"/>
      <c r="J81" s="195"/>
      <c r="P81" s="233"/>
      <c r="Q81" s="233"/>
      <c r="R81" s="233"/>
      <c r="S81" s="233"/>
    </row>
    <row r="82" spans="2:19">
      <c r="B82" s="233"/>
      <c r="C82" s="644" t="str">
        <f>"   Incremental FCR with "&amp;F13&amp;" Basis Point ROE increase, less Depreciation"</f>
        <v xml:space="preserve">   Incremental FCR with 0 Basis Point ROE increase, less Depreciation</v>
      </c>
      <c r="D82" s="645"/>
      <c r="E82" s="645"/>
      <c r="F82" s="339">
        <f>F80-F81</f>
        <v>3.6268927851049876E-3</v>
      </c>
      <c r="H82" s="217"/>
      <c r="J82" s="195"/>
      <c r="P82" s="233"/>
      <c r="Q82" s="233"/>
      <c r="R82" s="233"/>
      <c r="S82" s="233"/>
    </row>
    <row r="83" spans="2:19">
      <c r="B83" s="233"/>
      <c r="C83" s="645"/>
      <c r="D83" s="645"/>
      <c r="E83" s="645"/>
      <c r="F83" s="339"/>
      <c r="G83" s="233"/>
      <c r="H83" s="242"/>
      <c r="I83" s="233"/>
      <c r="J83" s="243"/>
      <c r="K83" s="233"/>
      <c r="L83" s="233"/>
      <c r="M83" s="233"/>
      <c r="N83" s="233"/>
      <c r="O83" s="233"/>
      <c r="P83" s="233"/>
      <c r="Q83" s="233"/>
      <c r="R83" s="233"/>
      <c r="S83" s="233"/>
    </row>
    <row r="84" spans="2:19" ht="18.75">
      <c r="B84" s="303" t="s">
        <v>35</v>
      </c>
      <c r="C84" s="304" t="s">
        <v>36</v>
      </c>
      <c r="D84" s="241"/>
      <c r="E84" s="233"/>
      <c r="F84" s="339"/>
      <c r="G84" s="233"/>
      <c r="H84" s="242"/>
      <c r="I84" s="233"/>
      <c r="J84" s="243"/>
      <c r="K84" s="233"/>
      <c r="L84" s="233"/>
      <c r="M84" s="233"/>
      <c r="N84" s="233"/>
      <c r="O84" s="233"/>
      <c r="P84" s="233"/>
      <c r="Q84" s="233"/>
      <c r="R84" s="233"/>
      <c r="S84" s="233"/>
    </row>
    <row r="85" spans="2:19" ht="12.75" customHeight="1">
      <c r="B85" s="303"/>
      <c r="C85" s="304"/>
      <c r="D85" s="241"/>
      <c r="E85" s="233"/>
      <c r="F85" s="339"/>
      <c r="G85" s="233"/>
      <c r="H85" s="242"/>
      <c r="I85" s="233"/>
      <c r="J85" s="243"/>
      <c r="K85" s="233"/>
      <c r="L85" s="233"/>
      <c r="M85" s="233"/>
      <c r="N85" s="233"/>
      <c r="O85" s="233"/>
      <c r="P85" s="233"/>
      <c r="Q85" s="233"/>
      <c r="R85" s="233"/>
      <c r="S85" s="233"/>
    </row>
    <row r="86" spans="2:19" ht="12.75" customHeight="1">
      <c r="B86" s="303"/>
      <c r="C86" s="312" t="s">
        <v>37</v>
      </c>
      <c r="D86" s="241"/>
      <c r="F86" s="334">
        <f>+R125</f>
        <v>948661097</v>
      </c>
      <c r="G86" s="233" t="s">
        <v>283</v>
      </c>
      <c r="H86" s="242"/>
      <c r="I86" s="233"/>
      <c r="J86" s="243"/>
      <c r="K86" s="233"/>
      <c r="L86" s="233"/>
      <c r="M86" s="233"/>
      <c r="N86" s="233"/>
      <c r="O86" s="233"/>
      <c r="P86" s="233"/>
      <c r="Q86" s="233"/>
      <c r="R86" s="233"/>
      <c r="S86" s="233"/>
    </row>
    <row r="87" spans="2:19" ht="12.75" customHeight="1">
      <c r="B87" s="303"/>
      <c r="C87" s="312" t="s">
        <v>38</v>
      </c>
      <c r="D87" s="241"/>
      <c r="F87" s="341">
        <f>R126</f>
        <v>1069907872</v>
      </c>
      <c r="G87" s="233" t="s">
        <v>283</v>
      </c>
      <c r="H87" s="242"/>
      <c r="I87" s="233"/>
      <c r="J87" s="243"/>
      <c r="K87" s="233"/>
      <c r="L87" s="233"/>
      <c r="M87" s="233"/>
      <c r="N87" s="233"/>
      <c r="O87" s="233"/>
      <c r="P87" s="233"/>
      <c r="Q87" s="233"/>
      <c r="R87" s="233"/>
      <c r="S87" s="233"/>
    </row>
    <row r="88" spans="2:19">
      <c r="B88" s="233"/>
      <c r="C88" s="312"/>
      <c r="D88" s="241"/>
      <c r="F88" s="242">
        <f>+F87+F86</f>
        <v>2018568969</v>
      </c>
      <c r="G88" s="297"/>
      <c r="H88" s="242"/>
      <c r="I88" s="233"/>
      <c r="J88" s="243"/>
      <c r="K88" s="233"/>
      <c r="L88" s="233"/>
      <c r="M88" s="233"/>
      <c r="N88" s="233"/>
      <c r="O88" s="233"/>
      <c r="P88" s="233"/>
      <c r="Q88" s="233"/>
      <c r="R88" s="233"/>
      <c r="S88" s="233"/>
    </row>
    <row r="89" spans="2:19">
      <c r="B89" s="233"/>
      <c r="C89" s="312" t="str">
        <f>S127</f>
        <v>Transmission Plant Average Balance for 2020</v>
      </c>
      <c r="D89" s="296"/>
      <c r="E89" s="155"/>
      <c r="F89" s="323">
        <f>+F88/2</f>
        <v>1009284484.5</v>
      </c>
      <c r="G89" s="342"/>
      <c r="H89" s="242"/>
      <c r="I89" s="233"/>
      <c r="J89" s="243"/>
      <c r="K89" s="233"/>
      <c r="L89" s="233"/>
      <c r="M89" s="233"/>
      <c r="N89" s="233"/>
      <c r="O89" s="233"/>
      <c r="P89" s="233"/>
      <c r="Q89" s="233"/>
      <c r="R89" s="233"/>
      <c r="S89" s="233"/>
    </row>
    <row r="90" spans="2:19">
      <c r="B90" s="233"/>
      <c r="C90" s="248" t="str">
        <f>S128</f>
        <v>Annual Depreciation Expense  (Historic TCOS, ln 244)</v>
      </c>
      <c r="D90" s="296"/>
      <c r="E90" s="330"/>
      <c r="F90" s="323">
        <f>R128</f>
        <v>23222372</v>
      </c>
      <c r="G90" s="233"/>
      <c r="H90" s="242"/>
      <c r="I90" s="233"/>
      <c r="J90" s="243"/>
      <c r="K90" s="233"/>
      <c r="L90" s="233"/>
      <c r="M90" s="233"/>
      <c r="N90" s="233"/>
      <c r="O90" s="233"/>
      <c r="P90" s="233"/>
      <c r="Q90" s="233"/>
      <c r="R90" s="233"/>
      <c r="S90" s="233"/>
    </row>
    <row r="91" spans="2:19">
      <c r="B91" s="233"/>
      <c r="C91" s="312" t="s">
        <v>39</v>
      </c>
      <c r="D91" s="241"/>
      <c r="E91" s="233"/>
      <c r="F91" s="339">
        <f>IF(F89=0,0,F90/F89)</f>
        <v>2.3008747639179625E-2</v>
      </c>
      <c r="G91" s="233"/>
      <c r="H91" s="343"/>
      <c r="I91" s="233"/>
      <c r="J91" s="243"/>
      <c r="K91" s="233"/>
      <c r="L91" s="233"/>
      <c r="M91" s="233"/>
      <c r="N91" s="233"/>
      <c r="O91" s="233"/>
      <c r="P91" s="233"/>
      <c r="Q91" s="233"/>
      <c r="R91" s="233"/>
      <c r="S91" s="233"/>
    </row>
    <row r="92" spans="2:19">
      <c r="B92" s="233"/>
      <c r="C92" s="312" t="s">
        <v>40</v>
      </c>
      <c r="D92" s="241"/>
      <c r="E92" s="233"/>
      <c r="F92" s="344">
        <f>IF(F91=0,0,1/F91)</f>
        <v>43.461730976491118</v>
      </c>
      <c r="H92" s="242"/>
      <c r="I92" s="233"/>
      <c r="J92" s="243"/>
      <c r="K92" s="233"/>
      <c r="L92" s="233"/>
      <c r="M92" s="233"/>
      <c r="N92" s="233"/>
      <c r="O92" s="233"/>
      <c r="P92" s="233"/>
      <c r="Q92" s="233"/>
      <c r="R92" s="233"/>
      <c r="S92" s="233"/>
    </row>
    <row r="93" spans="2:19">
      <c r="B93" s="233"/>
      <c r="C93" s="312" t="s">
        <v>41</v>
      </c>
      <c r="D93" s="241"/>
      <c r="E93" s="233"/>
      <c r="F93" s="345">
        <f>ROUND(F92,0)</f>
        <v>43</v>
      </c>
      <c r="G93" s="233"/>
      <c r="H93" s="242"/>
      <c r="I93" s="233"/>
      <c r="J93" s="243"/>
      <c r="K93" s="233"/>
      <c r="L93" s="233"/>
      <c r="M93" s="233"/>
      <c r="N93" s="233"/>
      <c r="O93" s="233"/>
      <c r="P93" s="233"/>
      <c r="Q93" s="233"/>
      <c r="R93" s="233"/>
      <c r="S93" s="233"/>
    </row>
    <row r="94" spans="2:19">
      <c r="C94" s="346"/>
      <c r="D94" s="347"/>
      <c r="E94" s="347"/>
      <c r="F94" s="347"/>
      <c r="G94" s="348"/>
      <c r="H94" s="348"/>
      <c r="I94" s="349"/>
      <c r="J94" s="349"/>
      <c r="K94" s="349"/>
      <c r="L94" s="349"/>
      <c r="M94" s="349"/>
      <c r="N94" s="349"/>
      <c r="O94" s="243"/>
      <c r="P94" s="243"/>
      <c r="Q94" s="233"/>
      <c r="R94" s="233"/>
      <c r="S94" s="233"/>
    </row>
    <row r="95" spans="2:19">
      <c r="C95" s="346"/>
      <c r="D95" s="347"/>
      <c r="E95" s="347"/>
      <c r="F95" s="347"/>
      <c r="G95" s="348"/>
      <c r="H95" s="348"/>
      <c r="I95" s="349"/>
      <c r="J95" s="349"/>
      <c r="K95" s="349"/>
      <c r="L95" s="349"/>
      <c r="M95" s="349"/>
      <c r="N95" s="349"/>
      <c r="O95" s="243"/>
      <c r="P95" s="243"/>
      <c r="Q95" s="233"/>
      <c r="R95" s="233"/>
      <c r="S95" s="233"/>
    </row>
    <row r="96" spans="2:19">
      <c r="J96" s="195"/>
      <c r="P96" s="233"/>
      <c r="Q96" s="233"/>
      <c r="R96" s="233"/>
      <c r="S96" s="233"/>
    </row>
    <row r="97" spans="3:19">
      <c r="J97" s="195"/>
      <c r="P97" s="233"/>
      <c r="Q97" s="233"/>
      <c r="R97" s="350" t="s">
        <v>126</v>
      </c>
      <c r="S97" s="148" t="s">
        <v>127</v>
      </c>
    </row>
    <row r="98" spans="3:19">
      <c r="J98" s="195"/>
      <c r="P98" s="233"/>
      <c r="Q98" s="233"/>
    </row>
    <row r="99" spans="3:19">
      <c r="C99" s="240" t="s">
        <v>122</v>
      </c>
      <c r="J99" s="195"/>
      <c r="L99" s="240" t="s">
        <v>121</v>
      </c>
      <c r="P99" s="233"/>
      <c r="Q99" s="233"/>
    </row>
    <row r="100" spans="3:19">
      <c r="J100" s="195"/>
      <c r="P100" s="233"/>
      <c r="Q100" s="233"/>
      <c r="S100" s="234" t="s">
        <v>119</v>
      </c>
    </row>
    <row r="101" spans="3:19">
      <c r="J101" s="195"/>
      <c r="P101" s="233"/>
      <c r="Q101" s="233"/>
      <c r="R101" s="350" t="s">
        <v>115</v>
      </c>
      <c r="S101" s="204" t="s">
        <v>120</v>
      </c>
    </row>
    <row r="102" spans="3:19" ht="13.5" thickBot="1">
      <c r="J102" s="195"/>
      <c r="P102" s="233"/>
      <c r="Q102" s="233"/>
      <c r="R102" s="351" t="s">
        <v>142</v>
      </c>
    </row>
    <row r="103" spans="3:19">
      <c r="J103" s="195"/>
      <c r="P103" s="233"/>
      <c r="Q103" s="233"/>
      <c r="R103" s="352" t="s">
        <v>289</v>
      </c>
      <c r="S103" s="353" t="s">
        <v>143</v>
      </c>
    </row>
    <row r="104" spans="3:19">
      <c r="J104" s="195"/>
      <c r="P104" s="233"/>
      <c r="Q104" s="233"/>
      <c r="R104" s="354">
        <v>2021</v>
      </c>
      <c r="S104" s="355" t="s">
        <v>13</v>
      </c>
    </row>
    <row r="105" spans="3:19">
      <c r="J105" s="195"/>
      <c r="P105" s="233"/>
      <c r="Q105" s="233"/>
      <c r="R105" s="356">
        <v>0.105</v>
      </c>
      <c r="S105" s="355" t="s">
        <v>312</v>
      </c>
    </row>
    <row r="106" spans="3:19">
      <c r="J106" s="195"/>
      <c r="P106" s="233"/>
      <c r="Q106" s="233"/>
      <c r="R106" s="357">
        <v>0</v>
      </c>
      <c r="S106" s="355" t="s">
        <v>1</v>
      </c>
    </row>
    <row r="107" spans="3:19">
      <c r="J107" s="195"/>
      <c r="P107" s="233"/>
      <c r="Q107" s="233"/>
      <c r="R107" s="358">
        <v>0.49221422988540209</v>
      </c>
      <c r="S107" s="359" t="s">
        <v>109</v>
      </c>
    </row>
    <row r="108" spans="3:19">
      <c r="J108" s="195"/>
      <c r="P108" s="233"/>
      <c r="Q108" s="233"/>
      <c r="R108" s="358">
        <v>4.2554973149327033E-2</v>
      </c>
      <c r="S108" s="359" t="s">
        <v>110</v>
      </c>
    </row>
    <row r="109" spans="3:19">
      <c r="J109" s="195"/>
      <c r="P109" s="233"/>
      <c r="Q109" s="233"/>
      <c r="R109" s="358">
        <v>0</v>
      </c>
      <c r="S109" s="359" t="s">
        <v>111</v>
      </c>
    </row>
    <row r="110" spans="3:19">
      <c r="J110" s="195"/>
      <c r="P110" s="233"/>
      <c r="Q110" s="233"/>
      <c r="R110" s="358">
        <v>0</v>
      </c>
      <c r="S110" s="359" t="s">
        <v>112</v>
      </c>
    </row>
    <row r="111" spans="3:19">
      <c r="J111" s="195"/>
      <c r="P111" s="233"/>
      <c r="Q111" s="233"/>
      <c r="R111" s="358">
        <v>0.5077857701145978</v>
      </c>
      <c r="S111" s="360" t="s">
        <v>113</v>
      </c>
    </row>
    <row r="112" spans="3:19">
      <c r="J112" s="195"/>
      <c r="P112" s="233"/>
      <c r="Q112" s="233"/>
      <c r="R112" s="361">
        <v>519813264.9647429</v>
      </c>
      <c r="S112" s="362" t="s">
        <v>329</v>
      </c>
    </row>
    <row r="113" spans="3:19">
      <c r="J113" s="195"/>
      <c r="P113" s="233"/>
      <c r="Q113" s="233"/>
      <c r="R113" s="363">
        <v>0.25329199999999996</v>
      </c>
      <c r="S113" s="364" t="s">
        <v>330</v>
      </c>
    </row>
    <row r="114" spans="3:19">
      <c r="J114" s="195"/>
      <c r="P114" s="233"/>
      <c r="Q114" s="233"/>
      <c r="R114" s="361">
        <v>-478625.26595583552</v>
      </c>
      <c r="S114" s="364" t="s">
        <v>331</v>
      </c>
    </row>
    <row r="115" spans="3:19">
      <c r="J115" s="195"/>
      <c r="P115" s="233"/>
      <c r="Q115" s="233"/>
      <c r="R115" s="361">
        <v>-4278665.0203292314</v>
      </c>
      <c r="S115" s="364" t="s">
        <v>332</v>
      </c>
    </row>
    <row r="116" spans="3:19">
      <c r="J116" s="195"/>
      <c r="P116" s="233"/>
      <c r="Q116" s="233"/>
      <c r="R116" s="361">
        <v>69243.01065476732</v>
      </c>
      <c r="S116" s="364" t="s">
        <v>333</v>
      </c>
    </row>
    <row r="117" spans="3:19">
      <c r="C117" s="233"/>
      <c r="D117" s="241"/>
      <c r="E117" s="233"/>
      <c r="F117" s="233"/>
      <c r="G117" s="233"/>
      <c r="H117" s="242"/>
      <c r="I117" s="233"/>
      <c r="J117" s="243"/>
      <c r="K117" s="233"/>
      <c r="L117" s="233"/>
      <c r="M117" s="233"/>
      <c r="N117" s="233"/>
      <c r="O117" s="233"/>
      <c r="P117" s="233"/>
      <c r="Q117" s="233"/>
      <c r="R117" s="361">
        <v>99419627.839597642</v>
      </c>
      <c r="S117" s="364" t="s">
        <v>334</v>
      </c>
    </row>
    <row r="118" spans="3:19">
      <c r="C118" s="233"/>
      <c r="D118" s="241"/>
      <c r="E118" s="233"/>
      <c r="F118" s="233"/>
      <c r="G118" s="233"/>
      <c r="H118" s="242"/>
      <c r="I118" s="233"/>
      <c r="J118" s="243"/>
      <c r="K118" s="233"/>
      <c r="L118" s="233"/>
      <c r="M118" s="233"/>
      <c r="N118" s="233"/>
      <c r="O118" s="233"/>
      <c r="P118" s="233"/>
      <c r="Q118" s="233"/>
      <c r="R118" s="361">
        <v>38603240.354345709</v>
      </c>
      <c r="S118" s="364" t="s">
        <v>335</v>
      </c>
    </row>
    <row r="119" spans="3:19">
      <c r="C119" s="233"/>
      <c r="D119" s="241"/>
      <c r="E119" s="233"/>
      <c r="F119" s="233"/>
      <c r="G119" s="233"/>
      <c r="H119" s="242"/>
      <c r="I119" s="233"/>
      <c r="J119" s="243"/>
      <c r="K119" s="233"/>
      <c r="L119" s="233"/>
      <c r="M119" s="233"/>
      <c r="N119" s="233"/>
      <c r="O119" s="233"/>
      <c r="P119" s="233"/>
      <c r="Q119" s="233"/>
      <c r="R119" s="361">
        <v>4713251.443215535</v>
      </c>
      <c r="S119" s="364" t="s">
        <v>336</v>
      </c>
    </row>
    <row r="120" spans="3:19">
      <c r="C120" s="233"/>
      <c r="D120" s="241"/>
      <c r="E120" s="233"/>
      <c r="F120" s="233"/>
      <c r="G120" s="233"/>
      <c r="H120" s="242"/>
      <c r="I120" s="233"/>
      <c r="J120" s="243"/>
      <c r="K120" s="233"/>
      <c r="L120" s="233"/>
      <c r="M120" s="233"/>
      <c r="N120" s="233"/>
      <c r="O120" s="233"/>
      <c r="P120" s="233"/>
      <c r="Q120" s="233"/>
      <c r="R120" s="361">
        <v>0</v>
      </c>
      <c r="S120" s="364" t="s">
        <v>337</v>
      </c>
    </row>
    <row r="121" spans="3:19">
      <c r="C121" s="233"/>
      <c r="D121" s="241"/>
      <c r="E121" s="233"/>
      <c r="F121" s="233"/>
      <c r="G121" s="233"/>
      <c r="H121" s="242"/>
      <c r="I121" s="233"/>
      <c r="J121" s="243"/>
      <c r="K121" s="233"/>
      <c r="L121" s="233"/>
      <c r="M121" s="233"/>
      <c r="N121" s="233"/>
      <c r="O121" s="233"/>
      <c r="P121" s="233"/>
      <c r="Q121" s="233"/>
      <c r="R121" s="361">
        <v>20923010.994146973</v>
      </c>
      <c r="S121" s="364" t="s">
        <v>338</v>
      </c>
    </row>
    <row r="122" spans="3:19">
      <c r="C122" s="233"/>
      <c r="D122" s="241"/>
      <c r="E122" s="233"/>
      <c r="F122" s="233"/>
      <c r="G122" s="233"/>
      <c r="H122" s="242"/>
      <c r="I122" s="233"/>
      <c r="J122" s="243"/>
      <c r="K122" s="233"/>
      <c r="L122" s="233"/>
      <c r="M122" s="233"/>
      <c r="N122" s="233"/>
      <c r="O122" s="233"/>
      <c r="P122" s="233"/>
      <c r="Q122" s="233"/>
      <c r="R122" s="363">
        <v>0</v>
      </c>
      <c r="S122" s="364" t="s">
        <v>118</v>
      </c>
    </row>
    <row r="123" spans="3:19">
      <c r="C123" s="233"/>
      <c r="D123" s="241"/>
      <c r="E123" s="233"/>
      <c r="F123" s="233"/>
      <c r="G123" s="233"/>
      <c r="H123" s="242"/>
      <c r="I123" s="233"/>
      <c r="J123" s="243"/>
      <c r="K123" s="233"/>
      <c r="L123" s="233"/>
      <c r="M123" s="233"/>
      <c r="N123" s="233"/>
      <c r="O123" s="233"/>
      <c r="P123" s="233"/>
      <c r="Q123" s="233"/>
      <c r="R123" s="361">
        <v>682245064.30034721</v>
      </c>
      <c r="S123" s="364" t="s">
        <v>339</v>
      </c>
    </row>
    <row r="124" spans="3:19">
      <c r="C124" s="233"/>
      <c r="D124" s="241"/>
      <c r="E124" s="233"/>
      <c r="F124" s="233"/>
      <c r="G124" s="233"/>
      <c r="H124" s="242"/>
      <c r="I124" s="233"/>
      <c r="J124" s="243"/>
      <c r="K124" s="233"/>
      <c r="L124" s="233"/>
      <c r="M124" s="233"/>
      <c r="N124" s="233"/>
      <c r="O124" s="233"/>
      <c r="P124" s="233"/>
      <c r="Q124" s="233"/>
      <c r="R124" s="365">
        <v>0.11505633525681883</v>
      </c>
      <c r="S124" s="366" t="s">
        <v>290</v>
      </c>
    </row>
    <row r="125" spans="3:19">
      <c r="C125" s="233"/>
      <c r="D125" s="241"/>
      <c r="E125" s="233"/>
      <c r="F125" s="233"/>
      <c r="G125" s="233"/>
      <c r="H125" s="242"/>
      <c r="I125" s="233"/>
      <c r="J125" s="243"/>
      <c r="K125" s="233"/>
      <c r="L125" s="233"/>
      <c r="M125" s="233"/>
      <c r="N125" s="233"/>
      <c r="O125" s="233"/>
      <c r="P125" s="233"/>
      <c r="Q125" s="233"/>
      <c r="R125" s="631">
        <v>948661097</v>
      </c>
      <c r="S125" s="359" t="s">
        <v>37</v>
      </c>
    </row>
    <row r="126" spans="3:19">
      <c r="C126" s="233"/>
      <c r="D126" s="241"/>
      <c r="E126" s="233"/>
      <c r="F126" s="233"/>
      <c r="G126" s="233"/>
      <c r="H126" s="242"/>
      <c r="I126" s="233"/>
      <c r="J126" s="243"/>
      <c r="K126" s="233"/>
      <c r="L126" s="233"/>
      <c r="M126" s="233"/>
      <c r="N126" s="233"/>
      <c r="O126" s="233"/>
      <c r="P126" s="233"/>
      <c r="Q126" s="233"/>
      <c r="R126" s="367">
        <v>1069907872</v>
      </c>
      <c r="S126" s="360" t="s">
        <v>38</v>
      </c>
    </row>
    <row r="127" spans="3:19">
      <c r="C127" s="233"/>
      <c r="D127" s="241"/>
      <c r="E127" s="233"/>
      <c r="F127" s="233"/>
      <c r="G127" s="233"/>
      <c r="H127" s="242"/>
      <c r="I127" s="233"/>
      <c r="J127" s="243"/>
      <c r="K127" s="233"/>
      <c r="L127" s="233"/>
      <c r="M127" s="233"/>
      <c r="N127" s="233"/>
      <c r="O127" s="233"/>
      <c r="P127" s="233"/>
      <c r="Q127" s="233"/>
      <c r="R127" s="367">
        <v>977376119.53846157</v>
      </c>
      <c r="S127" s="368" t="s">
        <v>348</v>
      </c>
    </row>
    <row r="128" spans="3:19" ht="13.5" thickBot="1">
      <c r="C128" s="233"/>
      <c r="D128" s="241"/>
      <c r="E128" s="233"/>
      <c r="F128" s="233"/>
      <c r="G128" s="233"/>
      <c r="H128" s="242"/>
      <c r="I128" s="233"/>
      <c r="J128" s="243"/>
      <c r="K128" s="233"/>
      <c r="L128" s="233"/>
      <c r="M128" s="233"/>
      <c r="N128" s="233"/>
      <c r="O128" s="233"/>
      <c r="P128" s="233"/>
      <c r="Q128" s="233"/>
      <c r="R128" s="369">
        <v>23222372</v>
      </c>
      <c r="S128" s="370" t="s">
        <v>313</v>
      </c>
    </row>
    <row r="129" spans="3:19">
      <c r="C129" s="233"/>
      <c r="D129" s="241"/>
      <c r="E129" s="233"/>
      <c r="F129" s="233"/>
      <c r="G129" s="233"/>
      <c r="H129" s="242"/>
      <c r="I129" s="233"/>
      <c r="J129" s="243"/>
      <c r="K129" s="233"/>
      <c r="L129" s="233"/>
      <c r="M129" s="233"/>
      <c r="N129" s="233"/>
      <c r="O129" s="233"/>
      <c r="P129" s="233"/>
      <c r="Q129" s="233"/>
      <c r="R129" s="233"/>
      <c r="S129" s="233"/>
    </row>
    <row r="130" spans="3:19">
      <c r="C130" s="233"/>
      <c r="D130" s="241"/>
      <c r="E130" s="233"/>
      <c r="F130" s="233"/>
      <c r="G130" s="233"/>
      <c r="H130" s="242"/>
      <c r="I130" s="233"/>
      <c r="J130" s="243"/>
      <c r="K130" s="233"/>
      <c r="L130" s="233"/>
      <c r="M130" s="233"/>
      <c r="N130" s="233"/>
      <c r="O130" s="233"/>
      <c r="P130" s="233"/>
      <c r="Q130" s="233"/>
      <c r="R130" s="350" t="s">
        <v>116</v>
      </c>
      <c r="S130" s="233" t="s">
        <v>130</v>
      </c>
    </row>
    <row r="131" spans="3:19" ht="13.5" thickBot="1">
      <c r="C131" s="312"/>
      <c r="D131" s="321"/>
      <c r="E131" s="312"/>
      <c r="F131" s="312"/>
      <c r="G131" s="312"/>
      <c r="H131" s="323"/>
      <c r="I131" s="233"/>
      <c r="J131" s="243"/>
      <c r="K131" s="233"/>
      <c r="L131" s="233"/>
      <c r="M131" s="233"/>
      <c r="N131" s="233"/>
      <c r="O131" s="233"/>
      <c r="P131" s="233"/>
      <c r="Q131" s="233"/>
      <c r="R131" s="351" t="s">
        <v>114</v>
      </c>
      <c r="S131" s="233"/>
    </row>
    <row r="132" spans="3:19">
      <c r="C132" s="312"/>
      <c r="D132" s="321"/>
      <c r="E132" s="312"/>
      <c r="F132" s="312"/>
      <c r="G132" s="312"/>
      <c r="H132" s="323"/>
      <c r="I132" s="233"/>
      <c r="J132" s="243"/>
      <c r="K132" s="233"/>
      <c r="L132" s="233"/>
      <c r="M132" s="233"/>
      <c r="N132" s="233"/>
      <c r="O132" s="233"/>
      <c r="P132" s="233"/>
      <c r="Q132" s="233"/>
      <c r="R132" s="371">
        <f>+M19</f>
        <v>8270466.4672365077</v>
      </c>
      <c r="S132" s="233" t="str">
        <f>+K19&amp;" "&amp;M17</f>
        <v>PROJECTED YEAR Rev Require</v>
      </c>
    </row>
    <row r="133" spans="3:19">
      <c r="C133" s="312"/>
      <c r="D133" s="321"/>
      <c r="E133" s="312"/>
      <c r="F133" s="312"/>
      <c r="G133" s="312"/>
      <c r="H133" s="323"/>
      <c r="I133" s="233"/>
      <c r="J133" s="243"/>
      <c r="K133" s="233"/>
      <c r="L133" s="233"/>
      <c r="M133" s="233"/>
      <c r="N133" s="233"/>
      <c r="O133" s="233"/>
      <c r="P133" s="233"/>
      <c r="Q133" s="233"/>
      <c r="R133" s="372">
        <f>+N19</f>
        <v>8270466.4672365077</v>
      </c>
      <c r="S133" s="233" t="str">
        <f>K19&amp;" "&amp;N17</f>
        <v>PROJECTED YEAR  W Incentives</v>
      </c>
    </row>
    <row r="134" spans="3:19" ht="13.5" thickBot="1">
      <c r="C134" s="312"/>
      <c r="D134" s="321"/>
      <c r="E134" s="312"/>
      <c r="F134" s="312"/>
      <c r="G134" s="312"/>
      <c r="H134" s="323"/>
      <c r="I134" s="233"/>
      <c r="J134" s="243"/>
      <c r="K134" s="233"/>
      <c r="L134" s="233"/>
      <c r="M134" s="233"/>
      <c r="N134" s="233"/>
      <c r="O134" s="233"/>
      <c r="P134" s="233"/>
      <c r="Q134" s="233"/>
      <c r="R134" s="373">
        <f>+O19</f>
        <v>0</v>
      </c>
      <c r="S134" s="233" t="str">
        <f>K19&amp;" "&amp;O17</f>
        <v>PROJECTED YEAR Incentive Amounts</v>
      </c>
    </row>
    <row r="135" spans="3:19">
      <c r="C135" s="312"/>
      <c r="D135" s="321"/>
      <c r="E135" s="312"/>
      <c r="F135" s="312"/>
      <c r="G135" s="312"/>
      <c r="H135" s="323"/>
      <c r="I135" s="233"/>
      <c r="J135" s="243"/>
      <c r="K135" s="233"/>
      <c r="L135" s="233"/>
      <c r="M135" s="233"/>
      <c r="N135" s="233"/>
      <c r="O135" s="233"/>
      <c r="P135" s="233"/>
      <c r="Q135" s="233"/>
      <c r="R135" s="233"/>
      <c r="S135" s="233"/>
    </row>
    <row r="136" spans="3:19" ht="12.75" customHeight="1">
      <c r="R136" s="233"/>
      <c r="S136" s="233"/>
    </row>
    <row r="137" spans="3:19" ht="12.75" customHeight="1">
      <c r="R137" s="350" t="s">
        <v>128</v>
      </c>
      <c r="S137" s="234" t="s">
        <v>129</v>
      </c>
    </row>
  </sheetData>
  <mergeCells count="8">
    <mergeCell ref="K15:O16"/>
    <mergeCell ref="C8:H8"/>
    <mergeCell ref="C82:E83"/>
    <mergeCell ref="A1:J1"/>
    <mergeCell ref="A2:J2"/>
    <mergeCell ref="A3:J3"/>
    <mergeCell ref="A5:J5"/>
    <mergeCell ref="A4:J4"/>
  </mergeCells>
  <phoneticPr fontId="0" type="noConversion"/>
  <printOptions horizontalCentered="1"/>
  <pageMargins left="0.25" right="0.25" top="0.75" bottom="0.25" header="0.25" footer="0.5"/>
  <pageSetup scale="41" fitToHeight="2" orientation="landscape" horizontalDpi="1200" verticalDpi="1200" r:id="rId1"/>
  <headerFooter alignWithMargins="0">
    <oddHeader xml:space="preserve">&amp;R&amp;16AEP - SPP Formula Rate
PSO TCOS - WS F
Page: &amp;P of &amp;N
</oddHeader>
    <oddFooter xml:space="preserve">&amp;C &amp;R 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66"/>
  <dimension ref="A1:P162"/>
  <sheetViews>
    <sheetView zoomScaleNormal="100" zoomScaleSheetLayoutView="80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17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196932.37209302327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196932.37209302327</v>
      </c>
      <c r="O6" s="233"/>
      <c r="P6" s="233"/>
    </row>
    <row r="7" spans="1:16" ht="13.5" thickBot="1">
      <c r="C7" s="431" t="s">
        <v>46</v>
      </c>
      <c r="D7" s="599" t="s">
        <v>265</v>
      </c>
      <c r="E7" s="600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291</v>
      </c>
      <c r="E9" s="577" t="s">
        <v>292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1692023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2015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39349.372093023259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2015</v>
      </c>
      <c r="D17" s="584">
        <v>1500000</v>
      </c>
      <c r="E17" s="608">
        <v>0</v>
      </c>
      <c r="F17" s="584">
        <v>1500000</v>
      </c>
      <c r="G17" s="608">
        <v>206807.48514960654</v>
      </c>
      <c r="H17" s="587">
        <v>206807.48514960654</v>
      </c>
      <c r="I17" s="475">
        <v>0</v>
      </c>
      <c r="J17" s="475"/>
      <c r="K17" s="476">
        <f t="shared" ref="K17:K22" si="0">G17</f>
        <v>206807.48514960654</v>
      </c>
      <c r="L17" s="603">
        <f t="shared" ref="L17:L22" si="1">IF(K17&lt;&gt;0,+G17-K17,0)</f>
        <v>0</v>
      </c>
      <c r="M17" s="476">
        <f t="shared" ref="M17:M22" si="2">H17</f>
        <v>206807.48514960654</v>
      </c>
      <c r="N17" s="478">
        <f>IF(M17&lt;&gt;0,+H17-M17,0)</f>
        <v>0</v>
      </c>
      <c r="O17" s="475">
        <f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2016</v>
      </c>
      <c r="D18" s="584">
        <v>1777912</v>
      </c>
      <c r="E18" s="585">
        <v>34190.615384615383</v>
      </c>
      <c r="F18" s="584">
        <v>1743721.3846153845</v>
      </c>
      <c r="G18" s="585">
        <v>262896.61538461538</v>
      </c>
      <c r="H18" s="587">
        <v>262896.61538461538</v>
      </c>
      <c r="I18" s="475">
        <f>H18-G18</f>
        <v>0</v>
      </c>
      <c r="J18" s="475"/>
      <c r="K18" s="476">
        <f t="shared" si="0"/>
        <v>262896.61538461538</v>
      </c>
      <c r="L18" s="603">
        <f t="shared" si="1"/>
        <v>0</v>
      </c>
      <c r="M18" s="476">
        <f t="shared" si="2"/>
        <v>262896.61538461538</v>
      </c>
      <c r="N18" s="478">
        <f>IF(M18&lt;&gt;0,+H18-M18,0)</f>
        <v>0</v>
      </c>
      <c r="O18" s="475">
        <f>+N18-L18</f>
        <v>0</v>
      </c>
      <c r="P18" s="243"/>
    </row>
    <row r="19" spans="2:16">
      <c r="B19" s="160" t="str">
        <f>IF(D19=F18,"","IU")</f>
        <v>IU</v>
      </c>
      <c r="C19" s="472">
        <f>IF(D11="","-",+C18+1)</f>
        <v>2017</v>
      </c>
      <c r="D19" s="584">
        <v>1657832.3846153845</v>
      </c>
      <c r="E19" s="585">
        <v>36783.108695652176</v>
      </c>
      <c r="F19" s="584">
        <v>1621049.2759197324</v>
      </c>
      <c r="G19" s="585">
        <v>243079.10869565216</v>
      </c>
      <c r="H19" s="587">
        <v>243079.10869565216</v>
      </c>
      <c r="I19" s="475">
        <f t="shared" ref="I19:I72" si="3">H19-G19</f>
        <v>0</v>
      </c>
      <c r="J19" s="475"/>
      <c r="K19" s="476">
        <f t="shared" si="0"/>
        <v>243079.10869565216</v>
      </c>
      <c r="L19" s="603">
        <f t="shared" si="1"/>
        <v>0</v>
      </c>
      <c r="M19" s="476">
        <f t="shared" si="2"/>
        <v>243079.10869565216</v>
      </c>
      <c r="N19" s="478">
        <f>IF(M19&lt;&gt;0,+H19-M19,0)</f>
        <v>0</v>
      </c>
      <c r="O19" s="475">
        <f>+N19-L19</f>
        <v>0</v>
      </c>
      <c r="P19" s="243"/>
    </row>
    <row r="20" spans="2:16">
      <c r="B20" s="160" t="str">
        <f t="shared" ref="B20:B72" si="4">IF(D20=F19,"","IU")</f>
        <v/>
      </c>
      <c r="C20" s="472">
        <f>IF(D11="","-",+C19+1)</f>
        <v>2018</v>
      </c>
      <c r="D20" s="584">
        <v>1621049.2759197324</v>
      </c>
      <c r="E20" s="585">
        <v>37600.511111111111</v>
      </c>
      <c r="F20" s="584">
        <v>1583448.7648086213</v>
      </c>
      <c r="G20" s="585">
        <v>251897.51111111112</v>
      </c>
      <c r="H20" s="587">
        <v>251897.51111111112</v>
      </c>
      <c r="I20" s="475">
        <f t="shared" si="3"/>
        <v>0</v>
      </c>
      <c r="J20" s="475"/>
      <c r="K20" s="476">
        <f t="shared" si="0"/>
        <v>251897.51111111112</v>
      </c>
      <c r="L20" s="603">
        <f t="shared" si="1"/>
        <v>0</v>
      </c>
      <c r="M20" s="476">
        <f t="shared" si="2"/>
        <v>251897.51111111112</v>
      </c>
      <c r="N20" s="478">
        <f>IF(M20&lt;&gt;0,+H20-M20,0)</f>
        <v>0</v>
      </c>
      <c r="O20" s="475">
        <f>+N20-L20</f>
        <v>0</v>
      </c>
      <c r="P20" s="243"/>
    </row>
    <row r="21" spans="2:16">
      <c r="B21" s="160" t="str">
        <f t="shared" si="4"/>
        <v/>
      </c>
      <c r="C21" s="472">
        <f>IF(D11="","-",+C20+1)</f>
        <v>2019</v>
      </c>
      <c r="D21" s="584">
        <v>1583448.7648086213</v>
      </c>
      <c r="E21" s="585">
        <v>37600.511111111111</v>
      </c>
      <c r="F21" s="584">
        <v>1545848.2536975101</v>
      </c>
      <c r="G21" s="585">
        <v>246808.51111111112</v>
      </c>
      <c r="H21" s="587">
        <v>246808.51111111112</v>
      </c>
      <c r="I21" s="475">
        <f t="shared" si="3"/>
        <v>0</v>
      </c>
      <c r="J21" s="475"/>
      <c r="K21" s="476">
        <f t="shared" si="0"/>
        <v>246808.51111111112</v>
      </c>
      <c r="L21" s="603">
        <f t="shared" si="1"/>
        <v>0</v>
      </c>
      <c r="M21" s="476">
        <f t="shared" si="2"/>
        <v>246808.51111111112</v>
      </c>
      <c r="N21" s="478">
        <f t="shared" ref="N21:N72" si="5">IF(M21&lt;&gt;0,+H21-M21,0)</f>
        <v>0</v>
      </c>
      <c r="O21" s="478">
        <f t="shared" ref="O21:O72" si="6">+N21-L21</f>
        <v>0</v>
      </c>
      <c r="P21" s="243"/>
    </row>
    <row r="22" spans="2:16">
      <c r="B22" s="160" t="str">
        <f t="shared" si="4"/>
        <v/>
      </c>
      <c r="C22" s="472">
        <f>IF(D11="","-",+C21+1)</f>
        <v>2020</v>
      </c>
      <c r="D22" s="584">
        <v>1545848.2536975101</v>
      </c>
      <c r="E22" s="585">
        <v>40286.261904761908</v>
      </c>
      <c r="F22" s="584">
        <v>1505561.9917927482</v>
      </c>
      <c r="G22" s="585">
        <v>205069.7033172223</v>
      </c>
      <c r="H22" s="587">
        <v>205069.7033172223</v>
      </c>
      <c r="I22" s="475">
        <f t="shared" si="3"/>
        <v>0</v>
      </c>
      <c r="J22" s="475"/>
      <c r="K22" s="476">
        <f t="shared" si="0"/>
        <v>205069.7033172223</v>
      </c>
      <c r="L22" s="603">
        <f t="shared" si="1"/>
        <v>0</v>
      </c>
      <c r="M22" s="476">
        <f t="shared" si="2"/>
        <v>205069.7033172223</v>
      </c>
      <c r="N22" s="478">
        <f t="shared" si="5"/>
        <v>0</v>
      </c>
      <c r="O22" s="478">
        <f t="shared" si="6"/>
        <v>0</v>
      </c>
      <c r="P22" s="243"/>
    </row>
    <row r="23" spans="2:16">
      <c r="B23" s="160" t="str">
        <f t="shared" si="4"/>
        <v>IU</v>
      </c>
      <c r="C23" s="472">
        <f>IF(D11="","-",+C22+1)</f>
        <v>2021</v>
      </c>
      <c r="D23" s="584">
        <v>1500861.9279038594</v>
      </c>
      <c r="E23" s="585">
        <v>39349.372093023259</v>
      </c>
      <c r="F23" s="584">
        <v>1461512.5558108361</v>
      </c>
      <c r="G23" s="585">
        <v>196932.37209302327</v>
      </c>
      <c r="H23" s="587">
        <v>196932.37209302327</v>
      </c>
      <c r="I23" s="475">
        <f t="shared" si="3"/>
        <v>0</v>
      </c>
      <c r="J23" s="475"/>
      <c r="K23" s="476">
        <f t="shared" ref="K23" si="7">G23</f>
        <v>196932.37209302327</v>
      </c>
      <c r="L23" s="603">
        <f t="shared" ref="L23" si="8">IF(K23&lt;&gt;0,+G23-K23,0)</f>
        <v>0</v>
      </c>
      <c r="M23" s="476">
        <f t="shared" ref="M23" si="9">H23</f>
        <v>196932.37209302327</v>
      </c>
      <c r="N23" s="478">
        <f t="shared" si="5"/>
        <v>0</v>
      </c>
      <c r="O23" s="478">
        <f t="shared" si="6"/>
        <v>0</v>
      </c>
      <c r="P23" s="243"/>
    </row>
    <row r="24" spans="2:16">
      <c r="B24" s="160" t="str">
        <f t="shared" si="4"/>
        <v>IU</v>
      </c>
      <c r="C24" s="472">
        <f>IF(D11="","-",+C23+1)</f>
        <v>2022</v>
      </c>
      <c r="D24" s="485">
        <f>IF(F23+SUM(E$17:E23)=D$10,F23,D$10-SUM(E$17:E23))</f>
        <v>1466212.6196997249</v>
      </c>
      <c r="E24" s="484">
        <f t="shared" ref="E24:E72" si="10">IF(+$I$14&lt;F23,$I$14,D24)</f>
        <v>39349.372093023259</v>
      </c>
      <c r="F24" s="485">
        <f t="shared" ref="F24:F72" si="11">+D24-E24</f>
        <v>1426863.2476067017</v>
      </c>
      <c r="G24" s="486">
        <f t="shared" ref="G24:G72" si="12">(D24+F24)/2*I$12+E24</f>
        <v>205782.72554913332</v>
      </c>
      <c r="H24" s="455">
        <f t="shared" ref="H24:H72" si="13">+(D24+F24)/2*I$13+E24</f>
        <v>205782.72554913332</v>
      </c>
      <c r="I24" s="475">
        <f t="shared" si="3"/>
        <v>0</v>
      </c>
      <c r="J24" s="475"/>
      <c r="K24" s="487"/>
      <c r="L24" s="478">
        <f t="shared" ref="L24:L72" si="14">IF(K24&lt;&gt;0,+G24-K24,0)</f>
        <v>0</v>
      </c>
      <c r="M24" s="487"/>
      <c r="N24" s="478">
        <f t="shared" si="5"/>
        <v>0</v>
      </c>
      <c r="O24" s="478">
        <f t="shared" si="6"/>
        <v>0</v>
      </c>
      <c r="P24" s="243"/>
    </row>
    <row r="25" spans="2:16">
      <c r="B25" s="160" t="str">
        <f t="shared" si="4"/>
        <v/>
      </c>
      <c r="C25" s="472">
        <f>IF(D11="","-",+C24+1)</f>
        <v>2023</v>
      </c>
      <c r="D25" s="485">
        <f>IF(F24+SUM(E$17:E24)=D$10,F24,D$10-SUM(E$17:E24))</f>
        <v>1426863.2476067017</v>
      </c>
      <c r="E25" s="484">
        <f t="shared" si="10"/>
        <v>39349.372093023259</v>
      </c>
      <c r="F25" s="485">
        <f t="shared" si="11"/>
        <v>1387513.8755136784</v>
      </c>
      <c r="G25" s="486">
        <f t="shared" si="12"/>
        <v>201255.33100145313</v>
      </c>
      <c r="H25" s="455">
        <f t="shared" si="13"/>
        <v>201255.33100145313</v>
      </c>
      <c r="I25" s="475">
        <f t="shared" si="3"/>
        <v>0</v>
      </c>
      <c r="J25" s="475"/>
      <c r="K25" s="487"/>
      <c r="L25" s="478">
        <f t="shared" si="14"/>
        <v>0</v>
      </c>
      <c r="M25" s="487"/>
      <c r="N25" s="478">
        <f t="shared" si="5"/>
        <v>0</v>
      </c>
      <c r="O25" s="478">
        <f t="shared" si="6"/>
        <v>0</v>
      </c>
      <c r="P25" s="243"/>
    </row>
    <row r="26" spans="2:16">
      <c r="B26" s="160" t="str">
        <f t="shared" si="4"/>
        <v/>
      </c>
      <c r="C26" s="472">
        <f>IF(D11="","-",+C25+1)</f>
        <v>2024</v>
      </c>
      <c r="D26" s="485">
        <f>IF(F25+SUM(E$17:E25)=D$10,F25,D$10-SUM(E$17:E25))</f>
        <v>1387513.8755136784</v>
      </c>
      <c r="E26" s="484">
        <f t="shared" si="10"/>
        <v>39349.372093023259</v>
      </c>
      <c r="F26" s="485">
        <f t="shared" si="11"/>
        <v>1348164.5034206551</v>
      </c>
      <c r="G26" s="486">
        <f t="shared" si="12"/>
        <v>196727.93645377294</v>
      </c>
      <c r="H26" s="455">
        <f t="shared" si="13"/>
        <v>196727.93645377294</v>
      </c>
      <c r="I26" s="475">
        <f t="shared" si="3"/>
        <v>0</v>
      </c>
      <c r="J26" s="475"/>
      <c r="K26" s="487"/>
      <c r="L26" s="478">
        <f t="shared" si="14"/>
        <v>0</v>
      </c>
      <c r="M26" s="487"/>
      <c r="N26" s="478">
        <f t="shared" si="5"/>
        <v>0</v>
      </c>
      <c r="O26" s="478">
        <f t="shared" si="6"/>
        <v>0</v>
      </c>
      <c r="P26" s="243"/>
    </row>
    <row r="27" spans="2:16">
      <c r="B27" s="160" t="str">
        <f t="shared" si="4"/>
        <v/>
      </c>
      <c r="C27" s="472">
        <f>IF(D11="","-",+C26+1)</f>
        <v>2025</v>
      </c>
      <c r="D27" s="485">
        <f>IF(F26+SUM(E$17:E26)=D$10,F26,D$10-SUM(E$17:E26))</f>
        <v>1348164.5034206551</v>
      </c>
      <c r="E27" s="484">
        <f t="shared" si="10"/>
        <v>39349.372093023259</v>
      </c>
      <c r="F27" s="485">
        <f t="shared" si="11"/>
        <v>1308815.1313276319</v>
      </c>
      <c r="G27" s="486">
        <f t="shared" si="12"/>
        <v>192200.54190609275</v>
      </c>
      <c r="H27" s="455">
        <f t="shared" si="13"/>
        <v>192200.54190609275</v>
      </c>
      <c r="I27" s="475">
        <f t="shared" si="3"/>
        <v>0</v>
      </c>
      <c r="J27" s="475"/>
      <c r="K27" s="487"/>
      <c r="L27" s="478">
        <f t="shared" si="14"/>
        <v>0</v>
      </c>
      <c r="M27" s="487"/>
      <c r="N27" s="478">
        <f t="shared" si="5"/>
        <v>0</v>
      </c>
      <c r="O27" s="478">
        <f t="shared" si="6"/>
        <v>0</v>
      </c>
      <c r="P27" s="243"/>
    </row>
    <row r="28" spans="2:16">
      <c r="B28" s="160" t="str">
        <f t="shared" si="4"/>
        <v/>
      </c>
      <c r="C28" s="472">
        <f>IF(D11="","-",+C27+1)</f>
        <v>2026</v>
      </c>
      <c r="D28" s="485">
        <f>IF(F27+SUM(E$17:E27)=D$10,F27,D$10-SUM(E$17:E27))</f>
        <v>1308815.1313276319</v>
      </c>
      <c r="E28" s="484">
        <f t="shared" si="10"/>
        <v>39349.372093023259</v>
      </c>
      <c r="F28" s="485">
        <f t="shared" si="11"/>
        <v>1269465.7592346086</v>
      </c>
      <c r="G28" s="486">
        <f t="shared" si="12"/>
        <v>187673.14735841253</v>
      </c>
      <c r="H28" s="455">
        <f t="shared" si="13"/>
        <v>187673.14735841253</v>
      </c>
      <c r="I28" s="475">
        <f t="shared" si="3"/>
        <v>0</v>
      </c>
      <c r="J28" s="475"/>
      <c r="K28" s="487"/>
      <c r="L28" s="478">
        <f t="shared" si="14"/>
        <v>0</v>
      </c>
      <c r="M28" s="487"/>
      <c r="N28" s="478">
        <f t="shared" si="5"/>
        <v>0</v>
      </c>
      <c r="O28" s="478">
        <f t="shared" si="6"/>
        <v>0</v>
      </c>
      <c r="P28" s="243"/>
    </row>
    <row r="29" spans="2:16">
      <c r="B29" s="160" t="str">
        <f t="shared" si="4"/>
        <v/>
      </c>
      <c r="C29" s="472">
        <f>IF(D11="","-",+C28+1)</f>
        <v>2027</v>
      </c>
      <c r="D29" s="485">
        <f>IF(F28+SUM(E$17:E28)=D$10,F28,D$10-SUM(E$17:E28))</f>
        <v>1269465.7592346086</v>
      </c>
      <c r="E29" s="484">
        <f t="shared" si="10"/>
        <v>39349.372093023259</v>
      </c>
      <c r="F29" s="485">
        <f t="shared" si="11"/>
        <v>1230116.3871415854</v>
      </c>
      <c r="G29" s="486">
        <f t="shared" si="12"/>
        <v>183145.75281073235</v>
      </c>
      <c r="H29" s="455">
        <f t="shared" si="13"/>
        <v>183145.75281073235</v>
      </c>
      <c r="I29" s="475">
        <f t="shared" si="3"/>
        <v>0</v>
      </c>
      <c r="J29" s="475"/>
      <c r="K29" s="487"/>
      <c r="L29" s="478">
        <f t="shared" si="14"/>
        <v>0</v>
      </c>
      <c r="M29" s="487"/>
      <c r="N29" s="478">
        <f t="shared" si="5"/>
        <v>0</v>
      </c>
      <c r="O29" s="478">
        <f t="shared" si="6"/>
        <v>0</v>
      </c>
      <c r="P29" s="243"/>
    </row>
    <row r="30" spans="2:16">
      <c r="B30" s="160" t="str">
        <f t="shared" si="4"/>
        <v/>
      </c>
      <c r="C30" s="472">
        <f>IF(D11="","-",+C29+1)</f>
        <v>2028</v>
      </c>
      <c r="D30" s="485">
        <f>IF(F29+SUM(E$17:E29)=D$10,F29,D$10-SUM(E$17:E29))</f>
        <v>1230116.3871415854</v>
      </c>
      <c r="E30" s="484">
        <f t="shared" si="10"/>
        <v>39349.372093023259</v>
      </c>
      <c r="F30" s="485">
        <f t="shared" si="11"/>
        <v>1190767.0150485621</v>
      </c>
      <c r="G30" s="486">
        <f t="shared" si="12"/>
        <v>178618.35826305216</v>
      </c>
      <c r="H30" s="455">
        <f t="shared" si="13"/>
        <v>178618.35826305216</v>
      </c>
      <c r="I30" s="475">
        <f t="shared" si="3"/>
        <v>0</v>
      </c>
      <c r="J30" s="475"/>
      <c r="K30" s="487"/>
      <c r="L30" s="478">
        <f t="shared" si="14"/>
        <v>0</v>
      </c>
      <c r="M30" s="487"/>
      <c r="N30" s="478">
        <f t="shared" si="5"/>
        <v>0</v>
      </c>
      <c r="O30" s="478">
        <f t="shared" si="6"/>
        <v>0</v>
      </c>
      <c r="P30" s="243"/>
    </row>
    <row r="31" spans="2:16">
      <c r="B31" s="160" t="str">
        <f t="shared" si="4"/>
        <v/>
      </c>
      <c r="C31" s="472">
        <f>IF(D11="","-",+C30+1)</f>
        <v>2029</v>
      </c>
      <c r="D31" s="485">
        <f>IF(F30+SUM(E$17:E30)=D$10,F30,D$10-SUM(E$17:E30))</f>
        <v>1190767.0150485621</v>
      </c>
      <c r="E31" s="484">
        <f t="shared" si="10"/>
        <v>39349.372093023259</v>
      </c>
      <c r="F31" s="485">
        <f t="shared" si="11"/>
        <v>1151417.6429555388</v>
      </c>
      <c r="G31" s="486">
        <f t="shared" si="12"/>
        <v>174090.96371537197</v>
      </c>
      <c r="H31" s="455">
        <f t="shared" si="13"/>
        <v>174090.96371537197</v>
      </c>
      <c r="I31" s="475">
        <f t="shared" si="3"/>
        <v>0</v>
      </c>
      <c r="J31" s="475"/>
      <c r="K31" s="487"/>
      <c r="L31" s="478">
        <f t="shared" si="14"/>
        <v>0</v>
      </c>
      <c r="M31" s="487"/>
      <c r="N31" s="478">
        <f t="shared" si="5"/>
        <v>0</v>
      </c>
      <c r="O31" s="478">
        <f t="shared" si="6"/>
        <v>0</v>
      </c>
      <c r="P31" s="243"/>
    </row>
    <row r="32" spans="2:16">
      <c r="B32" s="160" t="str">
        <f t="shared" si="4"/>
        <v/>
      </c>
      <c r="C32" s="472">
        <f>IF(D11="","-",+C31+1)</f>
        <v>2030</v>
      </c>
      <c r="D32" s="485">
        <f>IF(F31+SUM(E$17:E31)=D$10,F31,D$10-SUM(E$17:E31))</f>
        <v>1151417.6429555388</v>
      </c>
      <c r="E32" s="484">
        <f t="shared" si="10"/>
        <v>39349.372093023259</v>
      </c>
      <c r="F32" s="485">
        <f t="shared" si="11"/>
        <v>1112068.2708625156</v>
      </c>
      <c r="G32" s="486">
        <f t="shared" si="12"/>
        <v>169563.56916769175</v>
      </c>
      <c r="H32" s="455">
        <f t="shared" si="13"/>
        <v>169563.56916769175</v>
      </c>
      <c r="I32" s="475">
        <f t="shared" si="3"/>
        <v>0</v>
      </c>
      <c r="J32" s="475"/>
      <c r="K32" s="487"/>
      <c r="L32" s="478">
        <f t="shared" si="14"/>
        <v>0</v>
      </c>
      <c r="M32" s="487"/>
      <c r="N32" s="478">
        <f t="shared" si="5"/>
        <v>0</v>
      </c>
      <c r="O32" s="478">
        <f t="shared" si="6"/>
        <v>0</v>
      </c>
      <c r="P32" s="243"/>
    </row>
    <row r="33" spans="2:16">
      <c r="B33" s="160" t="str">
        <f t="shared" si="4"/>
        <v/>
      </c>
      <c r="C33" s="472">
        <f>IF(D11="","-",+C32+1)</f>
        <v>2031</v>
      </c>
      <c r="D33" s="485">
        <f>IF(F32+SUM(E$17:E32)=D$10,F32,D$10-SUM(E$17:E32))</f>
        <v>1112068.2708625156</v>
      </c>
      <c r="E33" s="484">
        <f t="shared" si="10"/>
        <v>39349.372093023259</v>
      </c>
      <c r="F33" s="485">
        <f t="shared" si="11"/>
        <v>1072718.8987694923</v>
      </c>
      <c r="G33" s="486">
        <f t="shared" si="12"/>
        <v>165036.17462001156</v>
      </c>
      <c r="H33" s="455">
        <f t="shared" si="13"/>
        <v>165036.17462001156</v>
      </c>
      <c r="I33" s="475">
        <f t="shared" si="3"/>
        <v>0</v>
      </c>
      <c r="J33" s="475"/>
      <c r="K33" s="487"/>
      <c r="L33" s="478">
        <f t="shared" si="14"/>
        <v>0</v>
      </c>
      <c r="M33" s="487"/>
      <c r="N33" s="478">
        <f t="shared" si="5"/>
        <v>0</v>
      </c>
      <c r="O33" s="478">
        <f t="shared" si="6"/>
        <v>0</v>
      </c>
      <c r="P33" s="243"/>
    </row>
    <row r="34" spans="2:16">
      <c r="B34" s="160" t="str">
        <f t="shared" si="4"/>
        <v/>
      </c>
      <c r="C34" s="472">
        <f>IF(D11="","-",+C33+1)</f>
        <v>2032</v>
      </c>
      <c r="D34" s="485">
        <f>IF(F33+SUM(E$17:E33)=D$10,F33,D$10-SUM(E$17:E33))</f>
        <v>1072718.8987694923</v>
      </c>
      <c r="E34" s="484">
        <f t="shared" si="10"/>
        <v>39349.372093023259</v>
      </c>
      <c r="F34" s="485">
        <f t="shared" si="11"/>
        <v>1033369.526676469</v>
      </c>
      <c r="G34" s="486">
        <f t="shared" si="12"/>
        <v>160508.78007233137</v>
      </c>
      <c r="H34" s="455">
        <f t="shared" si="13"/>
        <v>160508.78007233137</v>
      </c>
      <c r="I34" s="475">
        <f t="shared" si="3"/>
        <v>0</v>
      </c>
      <c r="J34" s="475"/>
      <c r="K34" s="487"/>
      <c r="L34" s="478">
        <f t="shared" si="14"/>
        <v>0</v>
      </c>
      <c r="M34" s="487"/>
      <c r="N34" s="478">
        <f t="shared" si="5"/>
        <v>0</v>
      </c>
      <c r="O34" s="478">
        <f t="shared" si="6"/>
        <v>0</v>
      </c>
      <c r="P34" s="243"/>
    </row>
    <row r="35" spans="2:16">
      <c r="B35" s="160" t="str">
        <f t="shared" si="4"/>
        <v/>
      </c>
      <c r="C35" s="472">
        <f>IF(D11="","-",+C34+1)</f>
        <v>2033</v>
      </c>
      <c r="D35" s="485">
        <f>IF(F34+SUM(E$17:E34)=D$10,F34,D$10-SUM(E$17:E34))</f>
        <v>1033369.526676469</v>
      </c>
      <c r="E35" s="484">
        <f t="shared" si="10"/>
        <v>39349.372093023259</v>
      </c>
      <c r="F35" s="485">
        <f t="shared" si="11"/>
        <v>994020.15458344575</v>
      </c>
      <c r="G35" s="486">
        <f t="shared" si="12"/>
        <v>155981.38552465115</v>
      </c>
      <c r="H35" s="455">
        <f t="shared" si="13"/>
        <v>155981.38552465115</v>
      </c>
      <c r="I35" s="475">
        <f t="shared" si="3"/>
        <v>0</v>
      </c>
      <c r="J35" s="475"/>
      <c r="K35" s="487"/>
      <c r="L35" s="478">
        <f t="shared" si="14"/>
        <v>0</v>
      </c>
      <c r="M35" s="487"/>
      <c r="N35" s="478">
        <f t="shared" si="5"/>
        <v>0</v>
      </c>
      <c r="O35" s="478">
        <f t="shared" si="6"/>
        <v>0</v>
      </c>
      <c r="P35" s="243"/>
    </row>
    <row r="36" spans="2:16">
      <c r="B36" s="160" t="str">
        <f t="shared" si="4"/>
        <v/>
      </c>
      <c r="C36" s="472">
        <f>IF(D11="","-",+C35+1)</f>
        <v>2034</v>
      </c>
      <c r="D36" s="485">
        <f>IF(F35+SUM(E$17:E35)=D$10,F35,D$10-SUM(E$17:E35))</f>
        <v>994020.15458344575</v>
      </c>
      <c r="E36" s="484">
        <f t="shared" si="10"/>
        <v>39349.372093023259</v>
      </c>
      <c r="F36" s="485">
        <f t="shared" si="11"/>
        <v>954670.78249042248</v>
      </c>
      <c r="G36" s="486">
        <f t="shared" si="12"/>
        <v>151453.99097697096</v>
      </c>
      <c r="H36" s="455">
        <f t="shared" si="13"/>
        <v>151453.99097697096</v>
      </c>
      <c r="I36" s="475">
        <f t="shared" si="3"/>
        <v>0</v>
      </c>
      <c r="J36" s="475"/>
      <c r="K36" s="487"/>
      <c r="L36" s="478">
        <f t="shared" si="14"/>
        <v>0</v>
      </c>
      <c r="M36" s="487"/>
      <c r="N36" s="478">
        <f t="shared" si="5"/>
        <v>0</v>
      </c>
      <c r="O36" s="478">
        <f t="shared" si="6"/>
        <v>0</v>
      </c>
      <c r="P36" s="243"/>
    </row>
    <row r="37" spans="2:16">
      <c r="B37" s="160" t="str">
        <f t="shared" si="4"/>
        <v/>
      </c>
      <c r="C37" s="472">
        <f>IF(D11="","-",+C36+1)</f>
        <v>2035</v>
      </c>
      <c r="D37" s="485">
        <f>IF(F36+SUM(E$17:E36)=D$10,F36,D$10-SUM(E$17:E36))</f>
        <v>954670.78249042248</v>
      </c>
      <c r="E37" s="484">
        <f t="shared" si="10"/>
        <v>39349.372093023259</v>
      </c>
      <c r="F37" s="485">
        <f t="shared" si="11"/>
        <v>915321.41039739922</v>
      </c>
      <c r="G37" s="486">
        <f t="shared" si="12"/>
        <v>146926.59642929077</v>
      </c>
      <c r="H37" s="455">
        <f t="shared" si="13"/>
        <v>146926.59642929077</v>
      </c>
      <c r="I37" s="475">
        <f t="shared" si="3"/>
        <v>0</v>
      </c>
      <c r="J37" s="475"/>
      <c r="K37" s="487"/>
      <c r="L37" s="478">
        <f t="shared" si="14"/>
        <v>0</v>
      </c>
      <c r="M37" s="487"/>
      <c r="N37" s="478">
        <f t="shared" si="5"/>
        <v>0</v>
      </c>
      <c r="O37" s="478">
        <f t="shared" si="6"/>
        <v>0</v>
      </c>
      <c r="P37" s="243"/>
    </row>
    <row r="38" spans="2:16">
      <c r="B38" s="160" t="str">
        <f t="shared" si="4"/>
        <v/>
      </c>
      <c r="C38" s="472">
        <f>IF(D11="","-",+C37+1)</f>
        <v>2036</v>
      </c>
      <c r="D38" s="485">
        <f>IF(F37+SUM(E$17:E37)=D$10,F37,D$10-SUM(E$17:E37))</f>
        <v>915321.41039739922</v>
      </c>
      <c r="E38" s="484">
        <f t="shared" si="10"/>
        <v>39349.372093023259</v>
      </c>
      <c r="F38" s="485">
        <f t="shared" si="11"/>
        <v>875972.03830437595</v>
      </c>
      <c r="G38" s="486">
        <f t="shared" si="12"/>
        <v>142399.20188161058</v>
      </c>
      <c r="H38" s="455">
        <f t="shared" si="13"/>
        <v>142399.20188161058</v>
      </c>
      <c r="I38" s="475">
        <f t="shared" si="3"/>
        <v>0</v>
      </c>
      <c r="J38" s="475"/>
      <c r="K38" s="487"/>
      <c r="L38" s="478">
        <f t="shared" si="14"/>
        <v>0</v>
      </c>
      <c r="M38" s="487"/>
      <c r="N38" s="478">
        <f t="shared" si="5"/>
        <v>0</v>
      </c>
      <c r="O38" s="478">
        <f t="shared" si="6"/>
        <v>0</v>
      </c>
      <c r="P38" s="243"/>
    </row>
    <row r="39" spans="2:16">
      <c r="B39" s="160" t="str">
        <f t="shared" si="4"/>
        <v/>
      </c>
      <c r="C39" s="472">
        <f>IF(D11="","-",+C38+1)</f>
        <v>2037</v>
      </c>
      <c r="D39" s="485">
        <f>IF(F38+SUM(E$17:E38)=D$10,F38,D$10-SUM(E$17:E38))</f>
        <v>875972.03830437595</v>
      </c>
      <c r="E39" s="484">
        <f t="shared" si="10"/>
        <v>39349.372093023259</v>
      </c>
      <c r="F39" s="485">
        <f t="shared" si="11"/>
        <v>836622.66621135268</v>
      </c>
      <c r="G39" s="486">
        <f t="shared" si="12"/>
        <v>137871.8073339304</v>
      </c>
      <c r="H39" s="455">
        <f t="shared" si="13"/>
        <v>137871.8073339304</v>
      </c>
      <c r="I39" s="475">
        <f t="shared" si="3"/>
        <v>0</v>
      </c>
      <c r="J39" s="475"/>
      <c r="K39" s="487"/>
      <c r="L39" s="478">
        <f t="shared" si="14"/>
        <v>0</v>
      </c>
      <c r="M39" s="487"/>
      <c r="N39" s="478">
        <f t="shared" si="5"/>
        <v>0</v>
      </c>
      <c r="O39" s="478">
        <f t="shared" si="6"/>
        <v>0</v>
      </c>
      <c r="P39" s="243"/>
    </row>
    <row r="40" spans="2:16">
      <c r="B40" s="160" t="str">
        <f t="shared" si="4"/>
        <v/>
      </c>
      <c r="C40" s="472">
        <f>IF(D11="","-",+C39+1)</f>
        <v>2038</v>
      </c>
      <c r="D40" s="485">
        <f>IF(F39+SUM(E$17:E39)=D$10,F39,D$10-SUM(E$17:E39))</f>
        <v>836622.66621135268</v>
      </c>
      <c r="E40" s="484">
        <f t="shared" si="10"/>
        <v>39349.372093023259</v>
      </c>
      <c r="F40" s="485">
        <f t="shared" si="11"/>
        <v>797273.29411832942</v>
      </c>
      <c r="G40" s="486">
        <f t="shared" si="12"/>
        <v>133344.41278625018</v>
      </c>
      <c r="H40" s="455">
        <f t="shared" si="13"/>
        <v>133344.41278625018</v>
      </c>
      <c r="I40" s="475">
        <f t="shared" si="3"/>
        <v>0</v>
      </c>
      <c r="J40" s="475"/>
      <c r="K40" s="487"/>
      <c r="L40" s="478">
        <f t="shared" si="14"/>
        <v>0</v>
      </c>
      <c r="M40" s="487"/>
      <c r="N40" s="478">
        <f t="shared" si="5"/>
        <v>0</v>
      </c>
      <c r="O40" s="478">
        <f t="shared" si="6"/>
        <v>0</v>
      </c>
      <c r="P40" s="243"/>
    </row>
    <row r="41" spans="2:16">
      <c r="B41" s="160" t="str">
        <f t="shared" si="4"/>
        <v/>
      </c>
      <c r="C41" s="472">
        <f>IF(D11="","-",+C40+1)</f>
        <v>2039</v>
      </c>
      <c r="D41" s="485">
        <f>IF(F40+SUM(E$17:E40)=D$10,F40,D$10-SUM(E$17:E40))</f>
        <v>797273.29411832942</v>
      </c>
      <c r="E41" s="484">
        <f t="shared" si="10"/>
        <v>39349.372093023259</v>
      </c>
      <c r="F41" s="485">
        <f t="shared" si="11"/>
        <v>757923.92202530615</v>
      </c>
      <c r="G41" s="486">
        <f t="shared" si="12"/>
        <v>128817.01823856999</v>
      </c>
      <c r="H41" s="455">
        <f t="shared" si="13"/>
        <v>128817.01823856999</v>
      </c>
      <c r="I41" s="475">
        <f t="shared" si="3"/>
        <v>0</v>
      </c>
      <c r="J41" s="475"/>
      <c r="K41" s="487"/>
      <c r="L41" s="478">
        <f t="shared" si="14"/>
        <v>0</v>
      </c>
      <c r="M41" s="487"/>
      <c r="N41" s="478">
        <f t="shared" si="5"/>
        <v>0</v>
      </c>
      <c r="O41" s="478">
        <f t="shared" si="6"/>
        <v>0</v>
      </c>
      <c r="P41" s="243"/>
    </row>
    <row r="42" spans="2:16">
      <c r="B42" s="160" t="str">
        <f t="shared" si="4"/>
        <v/>
      </c>
      <c r="C42" s="472">
        <f>IF(D11="","-",+C41+1)</f>
        <v>2040</v>
      </c>
      <c r="D42" s="485">
        <f>IF(F41+SUM(E$17:E41)=D$10,F41,D$10-SUM(E$17:E41))</f>
        <v>757923.92202530615</v>
      </c>
      <c r="E42" s="484">
        <f t="shared" si="10"/>
        <v>39349.372093023259</v>
      </c>
      <c r="F42" s="485">
        <f t="shared" si="11"/>
        <v>718574.54993228288</v>
      </c>
      <c r="G42" s="486">
        <f t="shared" si="12"/>
        <v>124289.6236908898</v>
      </c>
      <c r="H42" s="455">
        <f t="shared" si="13"/>
        <v>124289.6236908898</v>
      </c>
      <c r="I42" s="475">
        <f t="shared" si="3"/>
        <v>0</v>
      </c>
      <c r="J42" s="475"/>
      <c r="K42" s="487"/>
      <c r="L42" s="478">
        <f t="shared" si="14"/>
        <v>0</v>
      </c>
      <c r="M42" s="487"/>
      <c r="N42" s="478">
        <f t="shared" si="5"/>
        <v>0</v>
      </c>
      <c r="O42" s="478">
        <f t="shared" si="6"/>
        <v>0</v>
      </c>
      <c r="P42" s="243"/>
    </row>
    <row r="43" spans="2:16">
      <c r="B43" s="160" t="str">
        <f t="shared" si="4"/>
        <v/>
      </c>
      <c r="C43" s="472">
        <f>IF(D11="","-",+C42+1)</f>
        <v>2041</v>
      </c>
      <c r="D43" s="485">
        <f>IF(F42+SUM(E$17:E42)=D$10,F42,D$10-SUM(E$17:E42))</f>
        <v>718574.54993228288</v>
      </c>
      <c r="E43" s="484">
        <f t="shared" si="10"/>
        <v>39349.372093023259</v>
      </c>
      <c r="F43" s="485">
        <f t="shared" si="11"/>
        <v>679225.17783925962</v>
      </c>
      <c r="G43" s="486">
        <f t="shared" si="12"/>
        <v>119762.22914320961</v>
      </c>
      <c r="H43" s="455">
        <f t="shared" si="13"/>
        <v>119762.22914320961</v>
      </c>
      <c r="I43" s="475">
        <f t="shared" si="3"/>
        <v>0</v>
      </c>
      <c r="J43" s="475"/>
      <c r="K43" s="487"/>
      <c r="L43" s="478">
        <f t="shared" si="14"/>
        <v>0</v>
      </c>
      <c r="M43" s="487"/>
      <c r="N43" s="478">
        <f t="shared" si="5"/>
        <v>0</v>
      </c>
      <c r="O43" s="478">
        <f t="shared" si="6"/>
        <v>0</v>
      </c>
      <c r="P43" s="243"/>
    </row>
    <row r="44" spans="2:16">
      <c r="B44" s="160" t="str">
        <f t="shared" si="4"/>
        <v/>
      </c>
      <c r="C44" s="472">
        <f>IF(D11="","-",+C43+1)</f>
        <v>2042</v>
      </c>
      <c r="D44" s="485">
        <f>IF(F43+SUM(E$17:E43)=D$10,F43,D$10-SUM(E$17:E43))</f>
        <v>679225.17783925962</v>
      </c>
      <c r="E44" s="484">
        <f t="shared" si="10"/>
        <v>39349.372093023259</v>
      </c>
      <c r="F44" s="485">
        <f t="shared" si="11"/>
        <v>639875.80574623635</v>
      </c>
      <c r="G44" s="486">
        <f t="shared" si="12"/>
        <v>115234.83459552939</v>
      </c>
      <c r="H44" s="455">
        <f t="shared" si="13"/>
        <v>115234.83459552939</v>
      </c>
      <c r="I44" s="475">
        <f t="shared" si="3"/>
        <v>0</v>
      </c>
      <c r="J44" s="475"/>
      <c r="K44" s="487"/>
      <c r="L44" s="478">
        <f t="shared" si="14"/>
        <v>0</v>
      </c>
      <c r="M44" s="487"/>
      <c r="N44" s="478">
        <f t="shared" si="5"/>
        <v>0</v>
      </c>
      <c r="O44" s="478">
        <f t="shared" si="6"/>
        <v>0</v>
      </c>
      <c r="P44" s="243"/>
    </row>
    <row r="45" spans="2:16">
      <c r="B45" s="160" t="str">
        <f t="shared" si="4"/>
        <v/>
      </c>
      <c r="C45" s="472">
        <f>IF(D11="","-",+C44+1)</f>
        <v>2043</v>
      </c>
      <c r="D45" s="485">
        <f>IF(F44+SUM(E$17:E44)=D$10,F44,D$10-SUM(E$17:E44))</f>
        <v>639875.80574623635</v>
      </c>
      <c r="E45" s="484">
        <f t="shared" si="10"/>
        <v>39349.372093023259</v>
      </c>
      <c r="F45" s="485">
        <f t="shared" si="11"/>
        <v>600526.43365321308</v>
      </c>
      <c r="G45" s="486">
        <f t="shared" si="12"/>
        <v>110707.4400478492</v>
      </c>
      <c r="H45" s="455">
        <f t="shared" si="13"/>
        <v>110707.4400478492</v>
      </c>
      <c r="I45" s="475">
        <f t="shared" si="3"/>
        <v>0</v>
      </c>
      <c r="J45" s="475"/>
      <c r="K45" s="487"/>
      <c r="L45" s="478">
        <f t="shared" si="14"/>
        <v>0</v>
      </c>
      <c r="M45" s="487"/>
      <c r="N45" s="478">
        <f t="shared" si="5"/>
        <v>0</v>
      </c>
      <c r="O45" s="478">
        <f t="shared" si="6"/>
        <v>0</v>
      </c>
      <c r="P45" s="243"/>
    </row>
    <row r="46" spans="2:16">
      <c r="B46" s="160" t="str">
        <f t="shared" si="4"/>
        <v/>
      </c>
      <c r="C46" s="472">
        <f>IF(D11="","-",+C45+1)</f>
        <v>2044</v>
      </c>
      <c r="D46" s="485">
        <f>IF(F45+SUM(E$17:E45)=D$10,F45,D$10-SUM(E$17:E45))</f>
        <v>600526.43365321308</v>
      </c>
      <c r="E46" s="484">
        <f t="shared" si="10"/>
        <v>39349.372093023259</v>
      </c>
      <c r="F46" s="485">
        <f t="shared" si="11"/>
        <v>561177.06156018982</v>
      </c>
      <c r="G46" s="486">
        <f t="shared" si="12"/>
        <v>106180.04550016901</v>
      </c>
      <c r="H46" s="455">
        <f t="shared" si="13"/>
        <v>106180.04550016901</v>
      </c>
      <c r="I46" s="475">
        <f t="shared" si="3"/>
        <v>0</v>
      </c>
      <c r="J46" s="475"/>
      <c r="K46" s="487"/>
      <c r="L46" s="478">
        <f t="shared" si="14"/>
        <v>0</v>
      </c>
      <c r="M46" s="487"/>
      <c r="N46" s="478">
        <f t="shared" si="5"/>
        <v>0</v>
      </c>
      <c r="O46" s="478">
        <f t="shared" si="6"/>
        <v>0</v>
      </c>
      <c r="P46" s="243"/>
    </row>
    <row r="47" spans="2:16">
      <c r="B47" s="160" t="str">
        <f t="shared" si="4"/>
        <v/>
      </c>
      <c r="C47" s="472">
        <f>IF(D11="","-",+C46+1)</f>
        <v>2045</v>
      </c>
      <c r="D47" s="485">
        <f>IF(F46+SUM(E$17:E46)=D$10,F46,D$10-SUM(E$17:E46))</f>
        <v>561177.06156018982</v>
      </c>
      <c r="E47" s="484">
        <f t="shared" si="10"/>
        <v>39349.372093023259</v>
      </c>
      <c r="F47" s="485">
        <f t="shared" si="11"/>
        <v>521827.68946716655</v>
      </c>
      <c r="G47" s="486">
        <f t="shared" si="12"/>
        <v>101652.65095248882</v>
      </c>
      <c r="H47" s="455">
        <f t="shared" si="13"/>
        <v>101652.65095248882</v>
      </c>
      <c r="I47" s="475">
        <f t="shared" si="3"/>
        <v>0</v>
      </c>
      <c r="J47" s="475"/>
      <c r="K47" s="487"/>
      <c r="L47" s="478">
        <f t="shared" si="14"/>
        <v>0</v>
      </c>
      <c r="M47" s="487"/>
      <c r="N47" s="478">
        <f t="shared" si="5"/>
        <v>0</v>
      </c>
      <c r="O47" s="478">
        <f t="shared" si="6"/>
        <v>0</v>
      </c>
      <c r="P47" s="243"/>
    </row>
    <row r="48" spans="2:16">
      <c r="B48" s="160" t="str">
        <f t="shared" si="4"/>
        <v/>
      </c>
      <c r="C48" s="472">
        <f>IF(D11="","-",+C47+1)</f>
        <v>2046</v>
      </c>
      <c r="D48" s="485">
        <f>IF(F47+SUM(E$17:E47)=D$10,F47,D$10-SUM(E$17:E47))</f>
        <v>521827.68946716655</v>
      </c>
      <c r="E48" s="484">
        <f t="shared" si="10"/>
        <v>39349.372093023259</v>
      </c>
      <c r="F48" s="485">
        <f t="shared" si="11"/>
        <v>482478.31737414328</v>
      </c>
      <c r="G48" s="486">
        <f t="shared" si="12"/>
        <v>97125.256404808621</v>
      </c>
      <c r="H48" s="455">
        <f t="shared" si="13"/>
        <v>97125.256404808621</v>
      </c>
      <c r="I48" s="475">
        <f t="shared" si="3"/>
        <v>0</v>
      </c>
      <c r="J48" s="475"/>
      <c r="K48" s="487"/>
      <c r="L48" s="478">
        <f t="shared" si="14"/>
        <v>0</v>
      </c>
      <c r="M48" s="487"/>
      <c r="N48" s="478">
        <f t="shared" si="5"/>
        <v>0</v>
      </c>
      <c r="O48" s="478">
        <f t="shared" si="6"/>
        <v>0</v>
      </c>
      <c r="P48" s="243"/>
    </row>
    <row r="49" spans="2:16">
      <c r="B49" s="160" t="str">
        <f t="shared" si="4"/>
        <v/>
      </c>
      <c r="C49" s="472">
        <f>IF(D11="","-",+C48+1)</f>
        <v>2047</v>
      </c>
      <c r="D49" s="485">
        <f>IF(F48+SUM(E$17:E48)=D$10,F48,D$10-SUM(E$17:E48))</f>
        <v>482478.31737414328</v>
      </c>
      <c r="E49" s="484">
        <f t="shared" si="10"/>
        <v>39349.372093023259</v>
      </c>
      <c r="F49" s="485">
        <f t="shared" si="11"/>
        <v>443128.94528112002</v>
      </c>
      <c r="G49" s="486">
        <f t="shared" si="12"/>
        <v>92597.861857128417</v>
      </c>
      <c r="H49" s="455">
        <f t="shared" si="13"/>
        <v>92597.861857128417</v>
      </c>
      <c r="I49" s="475">
        <f t="shared" si="3"/>
        <v>0</v>
      </c>
      <c r="J49" s="475"/>
      <c r="K49" s="487"/>
      <c r="L49" s="478">
        <f t="shared" si="14"/>
        <v>0</v>
      </c>
      <c r="M49" s="487"/>
      <c r="N49" s="478">
        <f t="shared" si="5"/>
        <v>0</v>
      </c>
      <c r="O49" s="478">
        <f t="shared" si="6"/>
        <v>0</v>
      </c>
      <c r="P49" s="243"/>
    </row>
    <row r="50" spans="2:16">
      <c r="B50" s="160" t="str">
        <f t="shared" si="4"/>
        <v/>
      </c>
      <c r="C50" s="472">
        <f>IF(D11="","-",+C49+1)</f>
        <v>2048</v>
      </c>
      <c r="D50" s="485">
        <f>IF(F49+SUM(E$17:E49)=D$10,F49,D$10-SUM(E$17:E49))</f>
        <v>443128.94528112002</v>
      </c>
      <c r="E50" s="484">
        <f t="shared" si="10"/>
        <v>39349.372093023259</v>
      </c>
      <c r="F50" s="485">
        <f t="shared" si="11"/>
        <v>403779.57318809675</v>
      </c>
      <c r="G50" s="486">
        <f t="shared" si="12"/>
        <v>88070.467309448228</v>
      </c>
      <c r="H50" s="455">
        <f t="shared" si="13"/>
        <v>88070.467309448228</v>
      </c>
      <c r="I50" s="475">
        <f t="shared" si="3"/>
        <v>0</v>
      </c>
      <c r="J50" s="475"/>
      <c r="K50" s="487"/>
      <c r="L50" s="478">
        <f t="shared" si="14"/>
        <v>0</v>
      </c>
      <c r="M50" s="487"/>
      <c r="N50" s="478">
        <f t="shared" si="5"/>
        <v>0</v>
      </c>
      <c r="O50" s="478">
        <f t="shared" si="6"/>
        <v>0</v>
      </c>
      <c r="P50" s="243"/>
    </row>
    <row r="51" spans="2:16">
      <c r="B51" s="160" t="str">
        <f t="shared" si="4"/>
        <v/>
      </c>
      <c r="C51" s="472">
        <f>IF(D11="","-",+C50+1)</f>
        <v>2049</v>
      </c>
      <c r="D51" s="485">
        <f>IF(F50+SUM(E$17:E50)=D$10,F50,D$10-SUM(E$17:E50))</f>
        <v>403779.57318809675</v>
      </c>
      <c r="E51" s="484">
        <f t="shared" si="10"/>
        <v>39349.372093023259</v>
      </c>
      <c r="F51" s="485">
        <f t="shared" si="11"/>
        <v>364430.20109507348</v>
      </c>
      <c r="G51" s="486">
        <f t="shared" si="12"/>
        <v>83543.072761768039</v>
      </c>
      <c r="H51" s="455">
        <f t="shared" si="13"/>
        <v>83543.072761768039</v>
      </c>
      <c r="I51" s="475">
        <f t="shared" si="3"/>
        <v>0</v>
      </c>
      <c r="J51" s="475"/>
      <c r="K51" s="487"/>
      <c r="L51" s="478">
        <f t="shared" si="14"/>
        <v>0</v>
      </c>
      <c r="M51" s="487"/>
      <c r="N51" s="478">
        <f t="shared" si="5"/>
        <v>0</v>
      </c>
      <c r="O51" s="478">
        <f t="shared" si="6"/>
        <v>0</v>
      </c>
      <c r="P51" s="243"/>
    </row>
    <row r="52" spans="2:16">
      <c r="B52" s="160" t="str">
        <f t="shared" si="4"/>
        <v/>
      </c>
      <c r="C52" s="472">
        <f>IF(D11="","-",+C51+1)</f>
        <v>2050</v>
      </c>
      <c r="D52" s="485">
        <f>IF(F51+SUM(E$17:E51)=D$10,F51,D$10-SUM(E$17:E51))</f>
        <v>364430.20109507348</v>
      </c>
      <c r="E52" s="484">
        <f t="shared" si="10"/>
        <v>39349.372093023259</v>
      </c>
      <c r="F52" s="485">
        <f t="shared" si="11"/>
        <v>325080.82900205022</v>
      </c>
      <c r="G52" s="486">
        <f t="shared" si="12"/>
        <v>79015.678214087849</v>
      </c>
      <c r="H52" s="455">
        <f t="shared" si="13"/>
        <v>79015.678214087849</v>
      </c>
      <c r="I52" s="475">
        <f t="shared" si="3"/>
        <v>0</v>
      </c>
      <c r="J52" s="475"/>
      <c r="K52" s="487"/>
      <c r="L52" s="478">
        <f t="shared" si="14"/>
        <v>0</v>
      </c>
      <c r="M52" s="487"/>
      <c r="N52" s="478">
        <f t="shared" si="5"/>
        <v>0</v>
      </c>
      <c r="O52" s="478">
        <f t="shared" si="6"/>
        <v>0</v>
      </c>
      <c r="P52" s="243"/>
    </row>
    <row r="53" spans="2:16">
      <c r="B53" s="160" t="str">
        <f t="shared" si="4"/>
        <v/>
      </c>
      <c r="C53" s="472">
        <f>IF(D11="","-",+C52+1)</f>
        <v>2051</v>
      </c>
      <c r="D53" s="485">
        <f>IF(F52+SUM(E$17:E52)=D$10,F52,D$10-SUM(E$17:E52))</f>
        <v>325080.82900205022</v>
      </c>
      <c r="E53" s="484">
        <f t="shared" si="10"/>
        <v>39349.372093023259</v>
      </c>
      <c r="F53" s="485">
        <f t="shared" si="11"/>
        <v>285731.45690902695</v>
      </c>
      <c r="G53" s="486">
        <f t="shared" si="12"/>
        <v>74488.283666407646</v>
      </c>
      <c r="H53" s="455">
        <f t="shared" si="13"/>
        <v>74488.283666407646</v>
      </c>
      <c r="I53" s="475">
        <f t="shared" si="3"/>
        <v>0</v>
      </c>
      <c r="J53" s="475"/>
      <c r="K53" s="487"/>
      <c r="L53" s="478">
        <f t="shared" si="14"/>
        <v>0</v>
      </c>
      <c r="M53" s="487"/>
      <c r="N53" s="478">
        <f t="shared" si="5"/>
        <v>0</v>
      </c>
      <c r="O53" s="478">
        <f t="shared" si="6"/>
        <v>0</v>
      </c>
      <c r="P53" s="243"/>
    </row>
    <row r="54" spans="2:16">
      <c r="B54" s="160" t="str">
        <f t="shared" si="4"/>
        <v/>
      </c>
      <c r="C54" s="472">
        <f>IF(D11="","-",+C53+1)</f>
        <v>2052</v>
      </c>
      <c r="D54" s="485">
        <f>IF(F53+SUM(E$17:E53)=D$10,F53,D$10-SUM(E$17:E53))</f>
        <v>285731.45690902695</v>
      </c>
      <c r="E54" s="484">
        <f t="shared" si="10"/>
        <v>39349.372093023259</v>
      </c>
      <c r="F54" s="485">
        <f t="shared" si="11"/>
        <v>246382.08481600368</v>
      </c>
      <c r="G54" s="486">
        <f t="shared" si="12"/>
        <v>69960.889118727442</v>
      </c>
      <c r="H54" s="455">
        <f t="shared" si="13"/>
        <v>69960.889118727442</v>
      </c>
      <c r="I54" s="475">
        <f t="shared" si="3"/>
        <v>0</v>
      </c>
      <c r="J54" s="475"/>
      <c r="K54" s="487"/>
      <c r="L54" s="478">
        <f t="shared" si="14"/>
        <v>0</v>
      </c>
      <c r="M54" s="487"/>
      <c r="N54" s="478">
        <f t="shared" si="5"/>
        <v>0</v>
      </c>
      <c r="O54" s="478">
        <f t="shared" si="6"/>
        <v>0</v>
      </c>
      <c r="P54" s="243"/>
    </row>
    <row r="55" spans="2:16">
      <c r="B55" s="160" t="str">
        <f t="shared" si="4"/>
        <v/>
      </c>
      <c r="C55" s="472">
        <f>IF(D11="","-",+C54+1)</f>
        <v>2053</v>
      </c>
      <c r="D55" s="485">
        <f>IF(F54+SUM(E$17:E54)=D$10,F54,D$10-SUM(E$17:E54))</f>
        <v>246382.08481600368</v>
      </c>
      <c r="E55" s="484">
        <f t="shared" si="10"/>
        <v>39349.372093023259</v>
      </c>
      <c r="F55" s="485">
        <f t="shared" si="11"/>
        <v>207032.71272298042</v>
      </c>
      <c r="G55" s="486">
        <f t="shared" si="12"/>
        <v>65433.494571047253</v>
      </c>
      <c r="H55" s="455">
        <f t="shared" si="13"/>
        <v>65433.494571047253</v>
      </c>
      <c r="I55" s="475">
        <f t="shared" si="3"/>
        <v>0</v>
      </c>
      <c r="J55" s="475"/>
      <c r="K55" s="487"/>
      <c r="L55" s="478">
        <f t="shared" si="14"/>
        <v>0</v>
      </c>
      <c r="M55" s="487"/>
      <c r="N55" s="478">
        <f t="shared" si="5"/>
        <v>0</v>
      </c>
      <c r="O55" s="478">
        <f t="shared" si="6"/>
        <v>0</v>
      </c>
      <c r="P55" s="243"/>
    </row>
    <row r="56" spans="2:16">
      <c r="B56" s="160" t="str">
        <f t="shared" si="4"/>
        <v/>
      </c>
      <c r="C56" s="472">
        <f>IF(D11="","-",+C55+1)</f>
        <v>2054</v>
      </c>
      <c r="D56" s="485">
        <f>IF(F55+SUM(E$17:E55)=D$10,F55,D$10-SUM(E$17:E55))</f>
        <v>207032.71272298042</v>
      </c>
      <c r="E56" s="484">
        <f t="shared" si="10"/>
        <v>39349.372093023259</v>
      </c>
      <c r="F56" s="485">
        <f t="shared" si="11"/>
        <v>167683.34062995715</v>
      </c>
      <c r="G56" s="486">
        <f t="shared" si="12"/>
        <v>60906.100023367057</v>
      </c>
      <c r="H56" s="455">
        <f t="shared" si="13"/>
        <v>60906.100023367057</v>
      </c>
      <c r="I56" s="475">
        <f t="shared" si="3"/>
        <v>0</v>
      </c>
      <c r="J56" s="475"/>
      <c r="K56" s="487"/>
      <c r="L56" s="478">
        <f t="shared" si="14"/>
        <v>0</v>
      </c>
      <c r="M56" s="487"/>
      <c r="N56" s="478">
        <f t="shared" si="5"/>
        <v>0</v>
      </c>
      <c r="O56" s="478">
        <f t="shared" si="6"/>
        <v>0</v>
      </c>
      <c r="P56" s="243"/>
    </row>
    <row r="57" spans="2:16">
      <c r="B57" s="160" t="str">
        <f t="shared" si="4"/>
        <v/>
      </c>
      <c r="C57" s="472">
        <f>IF(D11="","-",+C56+1)</f>
        <v>2055</v>
      </c>
      <c r="D57" s="485">
        <f>IF(F56+SUM(E$17:E56)=D$10,F56,D$10-SUM(E$17:E56))</f>
        <v>167683.34062995715</v>
      </c>
      <c r="E57" s="484">
        <f t="shared" si="10"/>
        <v>39349.372093023259</v>
      </c>
      <c r="F57" s="485">
        <f t="shared" si="11"/>
        <v>128333.96853693388</v>
      </c>
      <c r="G57" s="486">
        <f t="shared" si="12"/>
        <v>56378.70547568686</v>
      </c>
      <c r="H57" s="455">
        <f t="shared" si="13"/>
        <v>56378.70547568686</v>
      </c>
      <c r="I57" s="475">
        <f t="shared" si="3"/>
        <v>0</v>
      </c>
      <c r="J57" s="475"/>
      <c r="K57" s="487"/>
      <c r="L57" s="478">
        <f t="shared" si="14"/>
        <v>0</v>
      </c>
      <c r="M57" s="487"/>
      <c r="N57" s="478">
        <f t="shared" si="5"/>
        <v>0</v>
      </c>
      <c r="O57" s="478">
        <f t="shared" si="6"/>
        <v>0</v>
      </c>
      <c r="P57" s="243"/>
    </row>
    <row r="58" spans="2:16">
      <c r="B58" s="160" t="str">
        <f t="shared" si="4"/>
        <v/>
      </c>
      <c r="C58" s="472">
        <f>IF(D11="","-",+C57+1)</f>
        <v>2056</v>
      </c>
      <c r="D58" s="485">
        <f>IF(F57+SUM(E$17:E57)=D$10,F57,D$10-SUM(E$17:E57))</f>
        <v>128333.96853693388</v>
      </c>
      <c r="E58" s="484">
        <f t="shared" si="10"/>
        <v>39349.372093023259</v>
      </c>
      <c r="F58" s="485">
        <f t="shared" si="11"/>
        <v>88984.596443910617</v>
      </c>
      <c r="G58" s="486">
        <f t="shared" si="12"/>
        <v>51851.310928006664</v>
      </c>
      <c r="H58" s="455">
        <f t="shared" si="13"/>
        <v>51851.310928006664</v>
      </c>
      <c r="I58" s="475">
        <f t="shared" si="3"/>
        <v>0</v>
      </c>
      <c r="J58" s="475"/>
      <c r="K58" s="487"/>
      <c r="L58" s="478">
        <f t="shared" si="14"/>
        <v>0</v>
      </c>
      <c r="M58" s="487"/>
      <c r="N58" s="478">
        <f t="shared" si="5"/>
        <v>0</v>
      </c>
      <c r="O58" s="478">
        <f t="shared" si="6"/>
        <v>0</v>
      </c>
      <c r="P58" s="243"/>
    </row>
    <row r="59" spans="2:16">
      <c r="B59" s="160" t="str">
        <f t="shared" si="4"/>
        <v/>
      </c>
      <c r="C59" s="472">
        <f>IF(D11="","-",+C58+1)</f>
        <v>2057</v>
      </c>
      <c r="D59" s="485">
        <f>IF(F58+SUM(E$17:E58)=D$10,F58,D$10-SUM(E$17:E58))</f>
        <v>88984.596443910617</v>
      </c>
      <c r="E59" s="484">
        <f t="shared" si="10"/>
        <v>39349.372093023259</v>
      </c>
      <c r="F59" s="485">
        <f t="shared" si="11"/>
        <v>49635.224350887358</v>
      </c>
      <c r="G59" s="486">
        <f t="shared" si="12"/>
        <v>47323.916380326467</v>
      </c>
      <c r="H59" s="455">
        <f t="shared" si="13"/>
        <v>47323.916380326467</v>
      </c>
      <c r="I59" s="475">
        <f t="shared" si="3"/>
        <v>0</v>
      </c>
      <c r="J59" s="475"/>
      <c r="K59" s="487"/>
      <c r="L59" s="478">
        <f t="shared" si="14"/>
        <v>0</v>
      </c>
      <c r="M59" s="487"/>
      <c r="N59" s="478">
        <f t="shared" si="5"/>
        <v>0</v>
      </c>
      <c r="O59" s="478">
        <f t="shared" si="6"/>
        <v>0</v>
      </c>
      <c r="P59" s="243"/>
    </row>
    <row r="60" spans="2:16">
      <c r="B60" s="160" t="str">
        <f t="shared" si="4"/>
        <v/>
      </c>
      <c r="C60" s="472">
        <f>IF(D11="","-",+C59+1)</f>
        <v>2058</v>
      </c>
      <c r="D60" s="485">
        <f>IF(F59+SUM(E$17:E59)=D$10,F59,D$10-SUM(E$17:E59))</f>
        <v>49635.224350887358</v>
      </c>
      <c r="E60" s="484">
        <f t="shared" si="10"/>
        <v>39349.372093023259</v>
      </c>
      <c r="F60" s="485">
        <f t="shared" si="11"/>
        <v>10285.852257864099</v>
      </c>
      <c r="G60" s="486">
        <f t="shared" si="12"/>
        <v>42796.521832646278</v>
      </c>
      <c r="H60" s="455">
        <f t="shared" si="13"/>
        <v>42796.521832646278</v>
      </c>
      <c r="I60" s="475">
        <f t="shared" si="3"/>
        <v>0</v>
      </c>
      <c r="J60" s="475"/>
      <c r="K60" s="487"/>
      <c r="L60" s="478">
        <f t="shared" si="14"/>
        <v>0</v>
      </c>
      <c r="M60" s="487"/>
      <c r="N60" s="478">
        <f t="shared" si="5"/>
        <v>0</v>
      </c>
      <c r="O60" s="478">
        <f t="shared" si="6"/>
        <v>0</v>
      </c>
      <c r="P60" s="243"/>
    </row>
    <row r="61" spans="2:16">
      <c r="B61" s="160" t="str">
        <f t="shared" si="4"/>
        <v/>
      </c>
      <c r="C61" s="472">
        <f>IF(D11="","-",+C60+1)</f>
        <v>2059</v>
      </c>
      <c r="D61" s="485">
        <f>IF(F60+SUM(E$17:E60)=D$10,F60,D$10-SUM(E$17:E60))</f>
        <v>10285.852257864099</v>
      </c>
      <c r="E61" s="484">
        <f t="shared" si="10"/>
        <v>10285.852257864099</v>
      </c>
      <c r="F61" s="485">
        <f t="shared" si="11"/>
        <v>0</v>
      </c>
      <c r="G61" s="486">
        <f t="shared" si="12"/>
        <v>10877.578490755557</v>
      </c>
      <c r="H61" s="455">
        <f t="shared" si="13"/>
        <v>10877.578490755557</v>
      </c>
      <c r="I61" s="475">
        <f t="shared" si="3"/>
        <v>0</v>
      </c>
      <c r="J61" s="475"/>
      <c r="K61" s="487"/>
      <c r="L61" s="478">
        <f t="shared" si="14"/>
        <v>0</v>
      </c>
      <c r="M61" s="487"/>
      <c r="N61" s="478">
        <f t="shared" si="5"/>
        <v>0</v>
      </c>
      <c r="O61" s="478">
        <f t="shared" si="6"/>
        <v>0</v>
      </c>
      <c r="P61" s="243"/>
    </row>
    <row r="62" spans="2:16">
      <c r="B62" s="160" t="str">
        <f t="shared" si="4"/>
        <v/>
      </c>
      <c r="C62" s="472">
        <f>IF(D11="","-",+C61+1)</f>
        <v>2060</v>
      </c>
      <c r="D62" s="485">
        <f>IF(F61+SUM(E$17:E61)=D$10,F61,D$10-SUM(E$17:E61))</f>
        <v>0</v>
      </c>
      <c r="E62" s="484">
        <f t="shared" si="10"/>
        <v>0</v>
      </c>
      <c r="F62" s="485">
        <f t="shared" si="11"/>
        <v>0</v>
      </c>
      <c r="G62" s="486">
        <f t="shared" si="12"/>
        <v>0</v>
      </c>
      <c r="H62" s="455">
        <f t="shared" si="13"/>
        <v>0</v>
      </c>
      <c r="I62" s="475">
        <f t="shared" si="3"/>
        <v>0</v>
      </c>
      <c r="J62" s="475"/>
      <c r="K62" s="487"/>
      <c r="L62" s="478">
        <f t="shared" si="14"/>
        <v>0</v>
      </c>
      <c r="M62" s="487"/>
      <c r="N62" s="478">
        <f t="shared" si="5"/>
        <v>0</v>
      </c>
      <c r="O62" s="478">
        <f t="shared" si="6"/>
        <v>0</v>
      </c>
      <c r="P62" s="243"/>
    </row>
    <row r="63" spans="2:16">
      <c r="B63" s="160" t="str">
        <f t="shared" si="4"/>
        <v/>
      </c>
      <c r="C63" s="472">
        <f>IF(D11="","-",+C62+1)</f>
        <v>2061</v>
      </c>
      <c r="D63" s="485">
        <f>IF(F62+SUM(E$17:E62)=D$10,F62,D$10-SUM(E$17:E62))</f>
        <v>0</v>
      </c>
      <c r="E63" s="484">
        <f t="shared" si="10"/>
        <v>0</v>
      </c>
      <c r="F63" s="485">
        <f t="shared" si="11"/>
        <v>0</v>
      </c>
      <c r="G63" s="486">
        <f t="shared" si="12"/>
        <v>0</v>
      </c>
      <c r="H63" s="455">
        <f t="shared" si="13"/>
        <v>0</v>
      </c>
      <c r="I63" s="475">
        <f t="shared" si="3"/>
        <v>0</v>
      </c>
      <c r="J63" s="475"/>
      <c r="K63" s="487"/>
      <c r="L63" s="478">
        <f t="shared" si="14"/>
        <v>0</v>
      </c>
      <c r="M63" s="487"/>
      <c r="N63" s="478">
        <f t="shared" si="5"/>
        <v>0</v>
      </c>
      <c r="O63" s="478">
        <f t="shared" si="6"/>
        <v>0</v>
      </c>
      <c r="P63" s="243"/>
    </row>
    <row r="64" spans="2:16">
      <c r="B64" s="160" t="str">
        <f t="shared" si="4"/>
        <v/>
      </c>
      <c r="C64" s="472">
        <f>IF(D11="","-",+C63+1)</f>
        <v>2062</v>
      </c>
      <c r="D64" s="485">
        <f>IF(F63+SUM(E$17:E63)=D$10,F63,D$10-SUM(E$17:E63))</f>
        <v>0</v>
      </c>
      <c r="E64" s="484">
        <f t="shared" si="10"/>
        <v>0</v>
      </c>
      <c r="F64" s="485">
        <f t="shared" si="11"/>
        <v>0</v>
      </c>
      <c r="G64" s="486">
        <f t="shared" si="12"/>
        <v>0</v>
      </c>
      <c r="H64" s="455">
        <f t="shared" si="13"/>
        <v>0</v>
      </c>
      <c r="I64" s="475">
        <f t="shared" si="3"/>
        <v>0</v>
      </c>
      <c r="J64" s="475"/>
      <c r="K64" s="487"/>
      <c r="L64" s="478">
        <f t="shared" si="14"/>
        <v>0</v>
      </c>
      <c r="M64" s="487"/>
      <c r="N64" s="478">
        <f t="shared" si="5"/>
        <v>0</v>
      </c>
      <c r="O64" s="478">
        <f t="shared" si="6"/>
        <v>0</v>
      </c>
      <c r="P64" s="243"/>
    </row>
    <row r="65" spans="2:16">
      <c r="B65" s="160" t="str">
        <f t="shared" si="4"/>
        <v/>
      </c>
      <c r="C65" s="472">
        <f>IF(D11="","-",+C64+1)</f>
        <v>2063</v>
      </c>
      <c r="D65" s="485">
        <f>IF(F64+SUM(E$17:E64)=D$10,F64,D$10-SUM(E$17:E64))</f>
        <v>0</v>
      </c>
      <c r="E65" s="484">
        <f t="shared" si="10"/>
        <v>0</v>
      </c>
      <c r="F65" s="485">
        <f t="shared" si="11"/>
        <v>0</v>
      </c>
      <c r="G65" s="486">
        <f t="shared" si="12"/>
        <v>0</v>
      </c>
      <c r="H65" s="455">
        <f t="shared" si="13"/>
        <v>0</v>
      </c>
      <c r="I65" s="475">
        <f t="shared" si="3"/>
        <v>0</v>
      </c>
      <c r="J65" s="475"/>
      <c r="K65" s="487"/>
      <c r="L65" s="478">
        <f t="shared" si="14"/>
        <v>0</v>
      </c>
      <c r="M65" s="487"/>
      <c r="N65" s="478">
        <f t="shared" si="5"/>
        <v>0</v>
      </c>
      <c r="O65" s="478">
        <f t="shared" si="6"/>
        <v>0</v>
      </c>
      <c r="P65" s="243"/>
    </row>
    <row r="66" spans="2:16">
      <c r="B66" s="160" t="str">
        <f t="shared" si="4"/>
        <v/>
      </c>
      <c r="C66" s="472">
        <f>IF(D11="","-",+C65+1)</f>
        <v>2064</v>
      </c>
      <c r="D66" s="485">
        <f>IF(F65+SUM(E$17:E65)=D$10,F65,D$10-SUM(E$17:E65))</f>
        <v>0</v>
      </c>
      <c r="E66" s="484">
        <f t="shared" si="10"/>
        <v>0</v>
      </c>
      <c r="F66" s="485">
        <f t="shared" si="11"/>
        <v>0</v>
      </c>
      <c r="G66" s="486">
        <f t="shared" si="12"/>
        <v>0</v>
      </c>
      <c r="H66" s="455">
        <f t="shared" si="13"/>
        <v>0</v>
      </c>
      <c r="I66" s="475">
        <f t="shared" si="3"/>
        <v>0</v>
      </c>
      <c r="J66" s="475"/>
      <c r="K66" s="487"/>
      <c r="L66" s="478">
        <f t="shared" si="14"/>
        <v>0</v>
      </c>
      <c r="M66" s="487"/>
      <c r="N66" s="478">
        <f t="shared" si="5"/>
        <v>0</v>
      </c>
      <c r="O66" s="478">
        <f t="shared" si="6"/>
        <v>0</v>
      </c>
      <c r="P66" s="243"/>
    </row>
    <row r="67" spans="2:16">
      <c r="B67" s="160" t="str">
        <f t="shared" si="4"/>
        <v/>
      </c>
      <c r="C67" s="472">
        <f>IF(D11="","-",+C66+1)</f>
        <v>2065</v>
      </c>
      <c r="D67" s="485">
        <f>IF(F66+SUM(E$17:E66)=D$10,F66,D$10-SUM(E$17:E66))</f>
        <v>0</v>
      </c>
      <c r="E67" s="484">
        <f t="shared" si="10"/>
        <v>0</v>
      </c>
      <c r="F67" s="485">
        <f t="shared" si="11"/>
        <v>0</v>
      </c>
      <c r="G67" s="486">
        <f t="shared" si="12"/>
        <v>0</v>
      </c>
      <c r="H67" s="455">
        <f t="shared" si="13"/>
        <v>0</v>
      </c>
      <c r="I67" s="475">
        <f t="shared" si="3"/>
        <v>0</v>
      </c>
      <c r="J67" s="475"/>
      <c r="K67" s="487"/>
      <c r="L67" s="478">
        <f t="shared" si="14"/>
        <v>0</v>
      </c>
      <c r="M67" s="487"/>
      <c r="N67" s="478">
        <f t="shared" si="5"/>
        <v>0</v>
      </c>
      <c r="O67" s="478">
        <f t="shared" si="6"/>
        <v>0</v>
      </c>
      <c r="P67" s="243"/>
    </row>
    <row r="68" spans="2:16">
      <c r="B68" s="160" t="str">
        <f t="shared" si="4"/>
        <v/>
      </c>
      <c r="C68" s="472">
        <f>IF(D11="","-",+C67+1)</f>
        <v>2066</v>
      </c>
      <c r="D68" s="485">
        <f>IF(F67+SUM(E$17:E67)=D$10,F67,D$10-SUM(E$17:E67))</f>
        <v>0</v>
      </c>
      <c r="E68" s="484">
        <f t="shared" si="10"/>
        <v>0</v>
      </c>
      <c r="F68" s="485">
        <f t="shared" si="11"/>
        <v>0</v>
      </c>
      <c r="G68" s="486">
        <f t="shared" si="12"/>
        <v>0</v>
      </c>
      <c r="H68" s="455">
        <f t="shared" si="13"/>
        <v>0</v>
      </c>
      <c r="I68" s="475">
        <f t="shared" si="3"/>
        <v>0</v>
      </c>
      <c r="J68" s="475"/>
      <c r="K68" s="487"/>
      <c r="L68" s="478">
        <f t="shared" si="14"/>
        <v>0</v>
      </c>
      <c r="M68" s="487"/>
      <c r="N68" s="478">
        <f t="shared" si="5"/>
        <v>0</v>
      </c>
      <c r="O68" s="478">
        <f t="shared" si="6"/>
        <v>0</v>
      </c>
      <c r="P68" s="243"/>
    </row>
    <row r="69" spans="2:16">
      <c r="B69" s="160" t="str">
        <f t="shared" si="4"/>
        <v/>
      </c>
      <c r="C69" s="472">
        <f>IF(D11="","-",+C68+1)</f>
        <v>2067</v>
      </c>
      <c r="D69" s="485">
        <f>IF(F68+SUM(E$17:E68)=D$10,F68,D$10-SUM(E$17:E68))</f>
        <v>0</v>
      </c>
      <c r="E69" s="484">
        <f t="shared" si="10"/>
        <v>0</v>
      </c>
      <c r="F69" s="485">
        <f t="shared" si="11"/>
        <v>0</v>
      </c>
      <c r="G69" s="486">
        <f t="shared" si="12"/>
        <v>0</v>
      </c>
      <c r="H69" s="455">
        <f t="shared" si="13"/>
        <v>0</v>
      </c>
      <c r="I69" s="475">
        <f t="shared" si="3"/>
        <v>0</v>
      </c>
      <c r="J69" s="475"/>
      <c r="K69" s="487"/>
      <c r="L69" s="478">
        <f t="shared" si="14"/>
        <v>0</v>
      </c>
      <c r="M69" s="487"/>
      <c r="N69" s="478">
        <f t="shared" si="5"/>
        <v>0</v>
      </c>
      <c r="O69" s="478">
        <f t="shared" si="6"/>
        <v>0</v>
      </c>
      <c r="P69" s="243"/>
    </row>
    <row r="70" spans="2:16">
      <c r="B70" s="160" t="str">
        <f t="shared" si="4"/>
        <v/>
      </c>
      <c r="C70" s="472">
        <f>IF(D11="","-",+C69+1)</f>
        <v>2068</v>
      </c>
      <c r="D70" s="485">
        <f>IF(F69+SUM(E$17:E69)=D$10,F69,D$10-SUM(E$17:E69))</f>
        <v>0</v>
      </c>
      <c r="E70" s="484">
        <f t="shared" si="10"/>
        <v>0</v>
      </c>
      <c r="F70" s="485">
        <f t="shared" si="11"/>
        <v>0</v>
      </c>
      <c r="G70" s="486">
        <f t="shared" si="12"/>
        <v>0</v>
      </c>
      <c r="H70" s="455">
        <f t="shared" si="13"/>
        <v>0</v>
      </c>
      <c r="I70" s="475">
        <f t="shared" si="3"/>
        <v>0</v>
      </c>
      <c r="J70" s="475"/>
      <c r="K70" s="487"/>
      <c r="L70" s="478">
        <f t="shared" si="14"/>
        <v>0</v>
      </c>
      <c r="M70" s="487"/>
      <c r="N70" s="478">
        <f t="shared" si="5"/>
        <v>0</v>
      </c>
      <c r="O70" s="478">
        <f t="shared" si="6"/>
        <v>0</v>
      </c>
      <c r="P70" s="243"/>
    </row>
    <row r="71" spans="2:16">
      <c r="B71" s="160" t="str">
        <f t="shared" si="4"/>
        <v/>
      </c>
      <c r="C71" s="472">
        <f>IF(D11="","-",+C70+1)</f>
        <v>2069</v>
      </c>
      <c r="D71" s="485">
        <f>IF(F70+SUM(E$17:E70)=D$10,F70,D$10-SUM(E$17:E70))</f>
        <v>0</v>
      </c>
      <c r="E71" s="484">
        <f t="shared" si="10"/>
        <v>0</v>
      </c>
      <c r="F71" s="485">
        <f t="shared" si="11"/>
        <v>0</v>
      </c>
      <c r="G71" s="486">
        <f t="shared" si="12"/>
        <v>0</v>
      </c>
      <c r="H71" s="455">
        <f t="shared" si="13"/>
        <v>0</v>
      </c>
      <c r="I71" s="475">
        <f t="shared" si="3"/>
        <v>0</v>
      </c>
      <c r="J71" s="475"/>
      <c r="K71" s="487"/>
      <c r="L71" s="478">
        <f t="shared" si="14"/>
        <v>0</v>
      </c>
      <c r="M71" s="487"/>
      <c r="N71" s="478">
        <f t="shared" si="5"/>
        <v>0</v>
      </c>
      <c r="O71" s="478">
        <f t="shared" si="6"/>
        <v>0</v>
      </c>
      <c r="P71" s="243"/>
    </row>
    <row r="72" spans="2:16" ht="13.5" thickBot="1">
      <c r="B72" s="160" t="str">
        <f t="shared" si="4"/>
        <v/>
      </c>
      <c r="C72" s="489">
        <f>IF(D11="","-",+C71+1)</f>
        <v>2070</v>
      </c>
      <c r="D72" s="490">
        <f>IF(F71+SUM(E$17:E71)=D$10,F71,D$10-SUM(E$17:E71))</f>
        <v>0</v>
      </c>
      <c r="E72" s="491">
        <f t="shared" si="10"/>
        <v>0</v>
      </c>
      <c r="F72" s="490">
        <f t="shared" si="11"/>
        <v>0</v>
      </c>
      <c r="G72" s="490">
        <f t="shared" si="12"/>
        <v>0</v>
      </c>
      <c r="H72" s="490">
        <f t="shared" si="13"/>
        <v>0</v>
      </c>
      <c r="I72" s="493">
        <f t="shared" si="3"/>
        <v>0</v>
      </c>
      <c r="J72" s="475"/>
      <c r="K72" s="494"/>
      <c r="L72" s="495">
        <f t="shared" si="14"/>
        <v>0</v>
      </c>
      <c r="M72" s="494"/>
      <c r="N72" s="495">
        <f t="shared" si="5"/>
        <v>0</v>
      </c>
      <c r="O72" s="495">
        <f t="shared" si="6"/>
        <v>0</v>
      </c>
      <c r="P72" s="243"/>
    </row>
    <row r="73" spans="2:16">
      <c r="C73" s="347" t="s">
        <v>77</v>
      </c>
      <c r="D73" s="348"/>
      <c r="E73" s="348">
        <f>SUM(E17:E72)</f>
        <v>1692022.9999999998</v>
      </c>
      <c r="F73" s="348"/>
      <c r="G73" s="348">
        <f>SUM(G17:G72)</f>
        <v>6223084.9619160192</v>
      </c>
      <c r="H73" s="348">
        <f>SUM(H17:H72)</f>
        <v>6223084.9619160192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17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196932.37209302327</v>
      </c>
      <c r="N87" s="508">
        <f>IF(J92&lt;D11,0,VLOOKUP(J92,C17:O72,11))</f>
        <v>196932.37209302327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209438.30504191047</v>
      </c>
      <c r="N88" s="512">
        <f>IF(J92&lt;D11,0,VLOOKUP(J92,C99:P154,7))</f>
        <v>209438.30504191047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Grady Customer Connection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12505.932948887203</v>
      </c>
      <c r="N89" s="517">
        <f>+N88-N87</f>
        <v>12505.932948887203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TP2013002</v>
      </c>
      <c r="E91" s="522" t="str">
        <f>E9</f>
        <v xml:space="preserve">  SPP Project ID = 30748</v>
      </c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609">
        <v>1692023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2015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12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41269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2015</v>
      </c>
      <c r="D99" s="584">
        <v>0</v>
      </c>
      <c r="E99" s="608">
        <v>0</v>
      </c>
      <c r="F99" s="584">
        <v>1625288</v>
      </c>
      <c r="G99" s="608">
        <v>812644</v>
      </c>
      <c r="H99" s="587">
        <v>110878.7398202499</v>
      </c>
      <c r="I99" s="607">
        <v>110878.7398202499</v>
      </c>
      <c r="J99" s="478">
        <f>+I99-H99</f>
        <v>0</v>
      </c>
      <c r="K99" s="478"/>
      <c r="L99" s="554">
        <f>+H99</f>
        <v>110878.7398202499</v>
      </c>
      <c r="M99" s="477">
        <f t="shared" ref="M99:M130" si="15">IF(L99&lt;&gt;0,+H99-L99,0)</f>
        <v>0</v>
      </c>
      <c r="N99" s="554">
        <f>+I99</f>
        <v>110878.7398202499</v>
      </c>
      <c r="O99" s="477">
        <f t="shared" ref="O99:O130" si="16">IF(N99&lt;&gt;0,+I99-N99,0)</f>
        <v>0</v>
      </c>
      <c r="P99" s="477">
        <f t="shared" ref="P99:P130" si="17">+O99-M99</f>
        <v>0</v>
      </c>
    </row>
    <row r="100" spans="1:16">
      <c r="B100" s="160" t="str">
        <f>IF(D100=F99,"","IU")</f>
        <v>IU</v>
      </c>
      <c r="C100" s="472">
        <f>IF(D93="","-",+C99+1)</f>
        <v>2016</v>
      </c>
      <c r="D100" s="584">
        <v>1692023</v>
      </c>
      <c r="E100" s="585">
        <v>36783</v>
      </c>
      <c r="F100" s="586">
        <v>1655240</v>
      </c>
      <c r="G100" s="586">
        <v>1673631.5</v>
      </c>
      <c r="H100" s="606">
        <v>252540.45816220198</v>
      </c>
      <c r="I100" s="607">
        <v>252540.45816220198</v>
      </c>
      <c r="J100" s="478">
        <f>+I100-H100</f>
        <v>0</v>
      </c>
      <c r="K100" s="478"/>
      <c r="L100" s="476">
        <f>H100</f>
        <v>252540.45816220198</v>
      </c>
      <c r="M100" s="603">
        <f>IF(L100&lt;&gt;0,+H100-L100,0)</f>
        <v>0</v>
      </c>
      <c r="N100" s="476">
        <f>I100</f>
        <v>252540.45816220198</v>
      </c>
      <c r="O100" s="478">
        <f>IF(N100&lt;&gt;0,+I100-N100,0)</f>
        <v>0</v>
      </c>
      <c r="P100" s="475">
        <f>+O100-M100</f>
        <v>0</v>
      </c>
    </row>
    <row r="101" spans="1:16">
      <c r="B101" s="160" t="str">
        <f t="shared" ref="B101:B154" si="18">IF(D101=F100,"","IU")</f>
        <v/>
      </c>
      <c r="C101" s="472">
        <f>IF(D93="","-",+C100+1)</f>
        <v>2017</v>
      </c>
      <c r="D101" s="584">
        <v>1655240</v>
      </c>
      <c r="E101" s="585">
        <v>36783</v>
      </c>
      <c r="F101" s="586">
        <v>1618457</v>
      </c>
      <c r="G101" s="586">
        <v>1636848.5</v>
      </c>
      <c r="H101" s="606">
        <v>244421.35953995908</v>
      </c>
      <c r="I101" s="607">
        <v>244421.35953995908</v>
      </c>
      <c r="J101" s="478">
        <f t="shared" ref="J101:J154" si="19">+I101-H101</f>
        <v>0</v>
      </c>
      <c r="K101" s="478"/>
      <c r="L101" s="476">
        <f>H101</f>
        <v>244421.35953995908</v>
      </c>
      <c r="M101" s="603">
        <f>IF(L101&lt;&gt;0,+H101-L101,0)</f>
        <v>0</v>
      </c>
      <c r="N101" s="476">
        <f>I101</f>
        <v>244421.35953995908</v>
      </c>
      <c r="O101" s="478">
        <f>IF(N101&lt;&gt;0,+I101-N101,0)</f>
        <v>0</v>
      </c>
      <c r="P101" s="475">
        <f>+O101-M101</f>
        <v>0</v>
      </c>
    </row>
    <row r="102" spans="1:16">
      <c r="B102" s="160" t="str">
        <f t="shared" si="18"/>
        <v/>
      </c>
      <c r="C102" s="472">
        <f>IF(D93="","-",+C101+1)</f>
        <v>2018</v>
      </c>
      <c r="D102" s="584">
        <v>1618457</v>
      </c>
      <c r="E102" s="585">
        <v>39349</v>
      </c>
      <c r="F102" s="586">
        <v>1579108</v>
      </c>
      <c r="G102" s="586">
        <v>1598782.5</v>
      </c>
      <c r="H102" s="606">
        <v>203600.82637045698</v>
      </c>
      <c r="I102" s="607">
        <v>203600.82637045698</v>
      </c>
      <c r="J102" s="478">
        <f t="shared" si="19"/>
        <v>0</v>
      </c>
      <c r="K102" s="478"/>
      <c r="L102" s="476">
        <f>H102</f>
        <v>203600.82637045698</v>
      </c>
      <c r="M102" s="603">
        <f>IF(L102&lt;&gt;0,+H102-L102,0)</f>
        <v>0</v>
      </c>
      <c r="N102" s="476">
        <f>I102</f>
        <v>203600.82637045698</v>
      </c>
      <c r="O102" s="478">
        <f>IF(N102&lt;&gt;0,+I102-N102,0)</f>
        <v>0</v>
      </c>
      <c r="P102" s="475">
        <f>+O102-M102</f>
        <v>0</v>
      </c>
    </row>
    <row r="103" spans="1:16">
      <c r="B103" s="160" t="str">
        <f t="shared" si="18"/>
        <v/>
      </c>
      <c r="C103" s="472">
        <f>IF(D93="","-",+C102+1)</f>
        <v>2019</v>
      </c>
      <c r="D103" s="584">
        <v>1579108</v>
      </c>
      <c r="E103" s="585">
        <v>41269</v>
      </c>
      <c r="F103" s="586">
        <v>1537839</v>
      </c>
      <c r="G103" s="586">
        <v>1558473.5</v>
      </c>
      <c r="H103" s="606">
        <v>201969.47712497122</v>
      </c>
      <c r="I103" s="607">
        <v>201969.47712497122</v>
      </c>
      <c r="J103" s="478">
        <f t="shared" si="19"/>
        <v>0</v>
      </c>
      <c r="K103" s="478"/>
      <c r="L103" s="476">
        <f>H103</f>
        <v>201969.47712497122</v>
      </c>
      <c r="M103" s="603">
        <f>IF(L103&lt;&gt;0,+H103-L103,0)</f>
        <v>0</v>
      </c>
      <c r="N103" s="476">
        <f>I103</f>
        <v>201969.47712497122</v>
      </c>
      <c r="O103" s="478">
        <f t="shared" si="16"/>
        <v>0</v>
      </c>
      <c r="P103" s="478">
        <f t="shared" si="17"/>
        <v>0</v>
      </c>
    </row>
    <row r="104" spans="1:16">
      <c r="B104" s="160" t="str">
        <f t="shared" si="18"/>
        <v/>
      </c>
      <c r="C104" s="472">
        <f>IF(D93="","-",+C103+1)</f>
        <v>2020</v>
      </c>
      <c r="D104" s="584">
        <v>1537839</v>
      </c>
      <c r="E104" s="585">
        <v>39349</v>
      </c>
      <c r="F104" s="586">
        <v>1498490</v>
      </c>
      <c r="G104" s="586">
        <v>1518164.5</v>
      </c>
      <c r="H104" s="606">
        <v>214389.19300086203</v>
      </c>
      <c r="I104" s="607">
        <v>214389.19300086203</v>
      </c>
      <c r="J104" s="478">
        <f t="shared" si="19"/>
        <v>0</v>
      </c>
      <c r="K104" s="478"/>
      <c r="L104" s="476">
        <f>H104</f>
        <v>214389.19300086203</v>
      </c>
      <c r="M104" s="603">
        <f>IF(L104&lt;&gt;0,+H104-L104,0)</f>
        <v>0</v>
      </c>
      <c r="N104" s="476">
        <f>I104</f>
        <v>214389.19300086203</v>
      </c>
      <c r="O104" s="478">
        <f t="shared" si="16"/>
        <v>0</v>
      </c>
      <c r="P104" s="478">
        <f t="shared" si="17"/>
        <v>0</v>
      </c>
    </row>
    <row r="105" spans="1:16">
      <c r="B105" s="160" t="str">
        <f t="shared" si="18"/>
        <v/>
      </c>
      <c r="C105" s="472">
        <f>IF(D93="","-",+C104+1)</f>
        <v>2021</v>
      </c>
      <c r="D105" s="347">
        <f>IF(F104+SUM(E$99:E104)=D$92,F104,D$92-SUM(E$99:E104))</f>
        <v>1498490</v>
      </c>
      <c r="E105" s="484">
        <f t="shared" ref="E105:E154" si="20">IF(+J$96&lt;F104,J$96,D105)</f>
        <v>41269</v>
      </c>
      <c r="F105" s="485">
        <f t="shared" ref="F105:F154" si="21">+D105-E105</f>
        <v>1457221</v>
      </c>
      <c r="G105" s="485">
        <f t="shared" ref="G105:G154" si="22">+(F105+D105)/2</f>
        <v>1477855.5</v>
      </c>
      <c r="H105" s="486">
        <f t="shared" ref="H105:H153" si="23">(D105+F105)/2*J$94+E105</f>
        <v>209438.30504191047</v>
      </c>
      <c r="I105" s="542">
        <f t="shared" ref="I105:I153" si="24">+J$95*G105+E105</f>
        <v>209438.30504191047</v>
      </c>
      <c r="J105" s="478">
        <f t="shared" si="19"/>
        <v>0</v>
      </c>
      <c r="K105" s="478"/>
      <c r="L105" s="487"/>
      <c r="M105" s="478">
        <f t="shared" si="15"/>
        <v>0</v>
      </c>
      <c r="N105" s="487"/>
      <c r="O105" s="478">
        <f t="shared" si="16"/>
        <v>0</v>
      </c>
      <c r="P105" s="478">
        <f t="shared" si="17"/>
        <v>0</v>
      </c>
    </row>
    <row r="106" spans="1:16">
      <c r="B106" s="160" t="str">
        <f t="shared" si="18"/>
        <v/>
      </c>
      <c r="C106" s="472">
        <f>IF(D93="","-",+C105+1)</f>
        <v>2022</v>
      </c>
      <c r="D106" s="347">
        <f>IF(F105+SUM(E$99:E105)=D$92,F105,D$92-SUM(E$99:E105))</f>
        <v>1457221</v>
      </c>
      <c r="E106" s="484">
        <f t="shared" si="20"/>
        <v>41269</v>
      </c>
      <c r="F106" s="485">
        <f t="shared" si="21"/>
        <v>1415952</v>
      </c>
      <c r="G106" s="485">
        <f t="shared" si="22"/>
        <v>1436586.5</v>
      </c>
      <c r="H106" s="486">
        <f t="shared" si="23"/>
        <v>204742.19026629499</v>
      </c>
      <c r="I106" s="542">
        <f t="shared" si="24"/>
        <v>204742.19026629499</v>
      </c>
      <c r="J106" s="478">
        <f t="shared" si="19"/>
        <v>0</v>
      </c>
      <c r="K106" s="478"/>
      <c r="L106" s="487"/>
      <c r="M106" s="478">
        <f t="shared" si="15"/>
        <v>0</v>
      </c>
      <c r="N106" s="487"/>
      <c r="O106" s="478">
        <f t="shared" si="16"/>
        <v>0</v>
      </c>
      <c r="P106" s="478">
        <f t="shared" si="17"/>
        <v>0</v>
      </c>
    </row>
    <row r="107" spans="1:16">
      <c r="B107" s="160" t="str">
        <f t="shared" si="18"/>
        <v/>
      </c>
      <c r="C107" s="472">
        <f>IF(D93="","-",+C106+1)</f>
        <v>2023</v>
      </c>
      <c r="D107" s="347">
        <f>IF(F106+SUM(E$99:E106)=D$92,F106,D$92-SUM(E$99:E106))</f>
        <v>1415952</v>
      </c>
      <c r="E107" s="484">
        <f t="shared" si="20"/>
        <v>41269</v>
      </c>
      <c r="F107" s="485">
        <f t="shared" si="21"/>
        <v>1374683</v>
      </c>
      <c r="G107" s="485">
        <f t="shared" si="22"/>
        <v>1395317.5</v>
      </c>
      <c r="H107" s="486">
        <f t="shared" si="23"/>
        <v>200046.0754906795</v>
      </c>
      <c r="I107" s="542">
        <f t="shared" si="24"/>
        <v>200046.0754906795</v>
      </c>
      <c r="J107" s="478">
        <f t="shared" si="19"/>
        <v>0</v>
      </c>
      <c r="K107" s="478"/>
      <c r="L107" s="487"/>
      <c r="M107" s="478">
        <f t="shared" si="15"/>
        <v>0</v>
      </c>
      <c r="N107" s="487"/>
      <c r="O107" s="478">
        <f t="shared" si="16"/>
        <v>0</v>
      </c>
      <c r="P107" s="478">
        <f t="shared" si="17"/>
        <v>0</v>
      </c>
    </row>
    <row r="108" spans="1:16">
      <c r="B108" s="160" t="str">
        <f t="shared" si="18"/>
        <v/>
      </c>
      <c r="C108" s="472">
        <f>IF(D93="","-",+C107+1)</f>
        <v>2024</v>
      </c>
      <c r="D108" s="347">
        <f>IF(F107+SUM(E$99:E107)=D$92,F107,D$92-SUM(E$99:E107))</f>
        <v>1374683</v>
      </c>
      <c r="E108" s="484">
        <f t="shared" si="20"/>
        <v>41269</v>
      </c>
      <c r="F108" s="485">
        <f t="shared" si="21"/>
        <v>1333414</v>
      </c>
      <c r="G108" s="485">
        <f t="shared" si="22"/>
        <v>1354048.5</v>
      </c>
      <c r="H108" s="486">
        <f t="shared" si="23"/>
        <v>195349.96071506402</v>
      </c>
      <c r="I108" s="542">
        <f t="shared" si="24"/>
        <v>195349.96071506402</v>
      </c>
      <c r="J108" s="478">
        <f t="shared" si="19"/>
        <v>0</v>
      </c>
      <c r="K108" s="478"/>
      <c r="L108" s="487"/>
      <c r="M108" s="478">
        <f t="shared" si="15"/>
        <v>0</v>
      </c>
      <c r="N108" s="487"/>
      <c r="O108" s="478">
        <f t="shared" si="16"/>
        <v>0</v>
      </c>
      <c r="P108" s="478">
        <f t="shared" si="17"/>
        <v>0</v>
      </c>
    </row>
    <row r="109" spans="1:16">
      <c r="B109" s="160" t="str">
        <f t="shared" si="18"/>
        <v/>
      </c>
      <c r="C109" s="472">
        <f>IF(D93="","-",+C108+1)</f>
        <v>2025</v>
      </c>
      <c r="D109" s="347">
        <f>IF(F108+SUM(E$99:E108)=D$92,F108,D$92-SUM(E$99:E108))</f>
        <v>1333414</v>
      </c>
      <c r="E109" s="484">
        <f t="shared" si="20"/>
        <v>41269</v>
      </c>
      <c r="F109" s="485">
        <f t="shared" si="21"/>
        <v>1292145</v>
      </c>
      <c r="G109" s="485">
        <f t="shared" si="22"/>
        <v>1312779.5</v>
      </c>
      <c r="H109" s="486">
        <f t="shared" si="23"/>
        <v>190653.84593944854</v>
      </c>
      <c r="I109" s="542">
        <f t="shared" si="24"/>
        <v>190653.84593944854</v>
      </c>
      <c r="J109" s="478">
        <f t="shared" si="19"/>
        <v>0</v>
      </c>
      <c r="K109" s="478"/>
      <c r="L109" s="487"/>
      <c r="M109" s="478">
        <f t="shared" si="15"/>
        <v>0</v>
      </c>
      <c r="N109" s="487"/>
      <c r="O109" s="478">
        <f t="shared" si="16"/>
        <v>0</v>
      </c>
      <c r="P109" s="478">
        <f t="shared" si="17"/>
        <v>0</v>
      </c>
    </row>
    <row r="110" spans="1:16">
      <c r="B110" s="160" t="str">
        <f t="shared" si="18"/>
        <v/>
      </c>
      <c r="C110" s="472">
        <f>IF(D93="","-",+C109+1)</f>
        <v>2026</v>
      </c>
      <c r="D110" s="347">
        <f>IF(F109+SUM(E$99:E109)=D$92,F109,D$92-SUM(E$99:E109))</f>
        <v>1292145</v>
      </c>
      <c r="E110" s="484">
        <f t="shared" si="20"/>
        <v>41269</v>
      </c>
      <c r="F110" s="485">
        <f t="shared" si="21"/>
        <v>1250876</v>
      </c>
      <c r="G110" s="485">
        <f t="shared" si="22"/>
        <v>1271510.5</v>
      </c>
      <c r="H110" s="486">
        <f t="shared" si="23"/>
        <v>185957.73116383306</v>
      </c>
      <c r="I110" s="542">
        <f t="shared" si="24"/>
        <v>185957.73116383306</v>
      </c>
      <c r="J110" s="478">
        <f t="shared" si="19"/>
        <v>0</v>
      </c>
      <c r="K110" s="478"/>
      <c r="L110" s="487"/>
      <c r="M110" s="478">
        <f t="shared" si="15"/>
        <v>0</v>
      </c>
      <c r="N110" s="487"/>
      <c r="O110" s="478">
        <f t="shared" si="16"/>
        <v>0</v>
      </c>
      <c r="P110" s="478">
        <f t="shared" si="17"/>
        <v>0</v>
      </c>
    </row>
    <row r="111" spans="1:16">
      <c r="B111" s="160" t="str">
        <f t="shared" si="18"/>
        <v/>
      </c>
      <c r="C111" s="472">
        <f>IF(D93="","-",+C110+1)</f>
        <v>2027</v>
      </c>
      <c r="D111" s="347">
        <f>IF(F110+SUM(E$99:E110)=D$92,F110,D$92-SUM(E$99:E110))</f>
        <v>1250876</v>
      </c>
      <c r="E111" s="484">
        <f t="shared" si="20"/>
        <v>41269</v>
      </c>
      <c r="F111" s="485">
        <f t="shared" si="21"/>
        <v>1209607</v>
      </c>
      <c r="G111" s="485">
        <f t="shared" si="22"/>
        <v>1230241.5</v>
      </c>
      <c r="H111" s="486">
        <f t="shared" si="23"/>
        <v>181261.61638821758</v>
      </c>
      <c r="I111" s="542">
        <f t="shared" si="24"/>
        <v>181261.61638821758</v>
      </c>
      <c r="J111" s="478">
        <f t="shared" si="19"/>
        <v>0</v>
      </c>
      <c r="K111" s="478"/>
      <c r="L111" s="487"/>
      <c r="M111" s="478">
        <f t="shared" si="15"/>
        <v>0</v>
      </c>
      <c r="N111" s="487"/>
      <c r="O111" s="478">
        <f t="shared" si="16"/>
        <v>0</v>
      </c>
      <c r="P111" s="478">
        <f t="shared" si="17"/>
        <v>0</v>
      </c>
    </row>
    <row r="112" spans="1:16">
      <c r="B112" s="160" t="str">
        <f t="shared" si="18"/>
        <v/>
      </c>
      <c r="C112" s="472">
        <f>IF(D93="","-",+C111+1)</f>
        <v>2028</v>
      </c>
      <c r="D112" s="347">
        <f>IF(F111+SUM(E$99:E111)=D$92,F111,D$92-SUM(E$99:E111))</f>
        <v>1209607</v>
      </c>
      <c r="E112" s="484">
        <f t="shared" si="20"/>
        <v>41269</v>
      </c>
      <c r="F112" s="485">
        <f t="shared" si="21"/>
        <v>1168338</v>
      </c>
      <c r="G112" s="485">
        <f t="shared" si="22"/>
        <v>1188972.5</v>
      </c>
      <c r="H112" s="486">
        <f t="shared" si="23"/>
        <v>176565.50161260209</v>
      </c>
      <c r="I112" s="542">
        <f t="shared" si="24"/>
        <v>176565.50161260209</v>
      </c>
      <c r="J112" s="478">
        <f t="shared" si="19"/>
        <v>0</v>
      </c>
      <c r="K112" s="478"/>
      <c r="L112" s="487"/>
      <c r="M112" s="478">
        <f t="shared" si="15"/>
        <v>0</v>
      </c>
      <c r="N112" s="487"/>
      <c r="O112" s="478">
        <f t="shared" si="16"/>
        <v>0</v>
      </c>
      <c r="P112" s="478">
        <f t="shared" si="17"/>
        <v>0</v>
      </c>
    </row>
    <row r="113" spans="2:16">
      <c r="B113" s="160" t="str">
        <f t="shared" si="18"/>
        <v/>
      </c>
      <c r="C113" s="472">
        <f>IF(D93="","-",+C112+1)</f>
        <v>2029</v>
      </c>
      <c r="D113" s="347">
        <f>IF(F112+SUM(E$99:E112)=D$92,F112,D$92-SUM(E$99:E112))</f>
        <v>1168338</v>
      </c>
      <c r="E113" s="484">
        <f t="shared" si="20"/>
        <v>41269</v>
      </c>
      <c r="F113" s="485">
        <f t="shared" si="21"/>
        <v>1127069</v>
      </c>
      <c r="G113" s="485">
        <f t="shared" si="22"/>
        <v>1147703.5</v>
      </c>
      <c r="H113" s="486">
        <f t="shared" si="23"/>
        <v>171869.38683698664</v>
      </c>
      <c r="I113" s="542">
        <f t="shared" si="24"/>
        <v>171869.38683698664</v>
      </c>
      <c r="J113" s="478">
        <f t="shared" si="19"/>
        <v>0</v>
      </c>
      <c r="K113" s="478"/>
      <c r="L113" s="487"/>
      <c r="M113" s="478">
        <f t="shared" si="15"/>
        <v>0</v>
      </c>
      <c r="N113" s="487"/>
      <c r="O113" s="478">
        <f t="shared" si="16"/>
        <v>0</v>
      </c>
      <c r="P113" s="478">
        <f t="shared" si="17"/>
        <v>0</v>
      </c>
    </row>
    <row r="114" spans="2:16">
      <c r="B114" s="160" t="str">
        <f t="shared" si="18"/>
        <v/>
      </c>
      <c r="C114" s="472">
        <f>IF(D93="","-",+C113+1)</f>
        <v>2030</v>
      </c>
      <c r="D114" s="347">
        <f>IF(F113+SUM(E$99:E113)=D$92,F113,D$92-SUM(E$99:E113))</f>
        <v>1127069</v>
      </c>
      <c r="E114" s="484">
        <f t="shared" si="20"/>
        <v>41269</v>
      </c>
      <c r="F114" s="485">
        <f t="shared" si="21"/>
        <v>1085800</v>
      </c>
      <c r="G114" s="485">
        <f t="shared" si="22"/>
        <v>1106434.5</v>
      </c>
      <c r="H114" s="486">
        <f t="shared" si="23"/>
        <v>167173.27206137113</v>
      </c>
      <c r="I114" s="542">
        <f t="shared" si="24"/>
        <v>167173.27206137113</v>
      </c>
      <c r="J114" s="478">
        <f t="shared" si="19"/>
        <v>0</v>
      </c>
      <c r="K114" s="478"/>
      <c r="L114" s="487"/>
      <c r="M114" s="478">
        <f t="shared" si="15"/>
        <v>0</v>
      </c>
      <c r="N114" s="487"/>
      <c r="O114" s="478">
        <f t="shared" si="16"/>
        <v>0</v>
      </c>
      <c r="P114" s="478">
        <f t="shared" si="17"/>
        <v>0</v>
      </c>
    </row>
    <row r="115" spans="2:16">
      <c r="B115" s="160" t="str">
        <f t="shared" si="18"/>
        <v/>
      </c>
      <c r="C115" s="472">
        <f>IF(D93="","-",+C114+1)</f>
        <v>2031</v>
      </c>
      <c r="D115" s="347">
        <f>IF(F114+SUM(E$99:E114)=D$92,F114,D$92-SUM(E$99:E114))</f>
        <v>1085800</v>
      </c>
      <c r="E115" s="484">
        <f t="shared" si="20"/>
        <v>41269</v>
      </c>
      <c r="F115" s="485">
        <f t="shared" si="21"/>
        <v>1044531</v>
      </c>
      <c r="G115" s="485">
        <f t="shared" si="22"/>
        <v>1065165.5</v>
      </c>
      <c r="H115" s="486">
        <f t="shared" si="23"/>
        <v>162477.15728575567</v>
      </c>
      <c r="I115" s="542">
        <f t="shared" si="24"/>
        <v>162477.15728575567</v>
      </c>
      <c r="J115" s="478">
        <f t="shared" si="19"/>
        <v>0</v>
      </c>
      <c r="K115" s="478"/>
      <c r="L115" s="487"/>
      <c r="M115" s="478">
        <f t="shared" si="15"/>
        <v>0</v>
      </c>
      <c r="N115" s="487"/>
      <c r="O115" s="478">
        <f t="shared" si="16"/>
        <v>0</v>
      </c>
      <c r="P115" s="478">
        <f t="shared" si="17"/>
        <v>0</v>
      </c>
    </row>
    <row r="116" spans="2:16">
      <c r="B116" s="160" t="str">
        <f t="shared" si="18"/>
        <v/>
      </c>
      <c r="C116" s="472">
        <f>IF(D93="","-",+C115+1)</f>
        <v>2032</v>
      </c>
      <c r="D116" s="347">
        <f>IF(F115+SUM(E$99:E115)=D$92,F115,D$92-SUM(E$99:E115))</f>
        <v>1044531</v>
      </c>
      <c r="E116" s="484">
        <f t="shared" si="20"/>
        <v>41269</v>
      </c>
      <c r="F116" s="485">
        <f t="shared" si="21"/>
        <v>1003262</v>
      </c>
      <c r="G116" s="485">
        <f t="shared" si="22"/>
        <v>1023896.5</v>
      </c>
      <c r="H116" s="486">
        <f t="shared" si="23"/>
        <v>157781.04251014016</v>
      </c>
      <c r="I116" s="542">
        <f t="shared" si="24"/>
        <v>157781.04251014016</v>
      </c>
      <c r="J116" s="478">
        <f t="shared" si="19"/>
        <v>0</v>
      </c>
      <c r="K116" s="478"/>
      <c r="L116" s="487"/>
      <c r="M116" s="478">
        <f t="shared" si="15"/>
        <v>0</v>
      </c>
      <c r="N116" s="487"/>
      <c r="O116" s="478">
        <f t="shared" si="16"/>
        <v>0</v>
      </c>
      <c r="P116" s="478">
        <f t="shared" si="17"/>
        <v>0</v>
      </c>
    </row>
    <row r="117" spans="2:16">
      <c r="B117" s="160" t="str">
        <f t="shared" si="18"/>
        <v/>
      </c>
      <c r="C117" s="472">
        <f>IF(D93="","-",+C116+1)</f>
        <v>2033</v>
      </c>
      <c r="D117" s="347">
        <f>IF(F116+SUM(E$99:E116)=D$92,F116,D$92-SUM(E$99:E116))</f>
        <v>1003262</v>
      </c>
      <c r="E117" s="484">
        <f t="shared" si="20"/>
        <v>41269</v>
      </c>
      <c r="F117" s="485">
        <f t="shared" si="21"/>
        <v>961993</v>
      </c>
      <c r="G117" s="485">
        <f t="shared" si="22"/>
        <v>982627.5</v>
      </c>
      <c r="H117" s="486">
        <f t="shared" si="23"/>
        <v>153084.92773452471</v>
      </c>
      <c r="I117" s="542">
        <f t="shared" si="24"/>
        <v>153084.92773452471</v>
      </c>
      <c r="J117" s="478">
        <f t="shared" si="19"/>
        <v>0</v>
      </c>
      <c r="K117" s="478"/>
      <c r="L117" s="487"/>
      <c r="M117" s="478">
        <f t="shared" si="15"/>
        <v>0</v>
      </c>
      <c r="N117" s="487"/>
      <c r="O117" s="478">
        <f t="shared" si="16"/>
        <v>0</v>
      </c>
      <c r="P117" s="478">
        <f t="shared" si="17"/>
        <v>0</v>
      </c>
    </row>
    <row r="118" spans="2:16">
      <c r="B118" s="160" t="str">
        <f t="shared" si="18"/>
        <v/>
      </c>
      <c r="C118" s="472">
        <f>IF(D93="","-",+C117+1)</f>
        <v>2034</v>
      </c>
      <c r="D118" s="347">
        <f>IF(F117+SUM(E$99:E117)=D$92,F117,D$92-SUM(E$99:E117))</f>
        <v>961993</v>
      </c>
      <c r="E118" s="484">
        <f t="shared" si="20"/>
        <v>41269</v>
      </c>
      <c r="F118" s="485">
        <f t="shared" si="21"/>
        <v>920724</v>
      </c>
      <c r="G118" s="485">
        <f t="shared" si="22"/>
        <v>941358.5</v>
      </c>
      <c r="H118" s="486">
        <f t="shared" si="23"/>
        <v>148388.81295890923</v>
      </c>
      <c r="I118" s="542">
        <f t="shared" si="24"/>
        <v>148388.81295890923</v>
      </c>
      <c r="J118" s="478">
        <f t="shared" si="19"/>
        <v>0</v>
      </c>
      <c r="K118" s="478"/>
      <c r="L118" s="487"/>
      <c r="M118" s="478">
        <f t="shared" si="15"/>
        <v>0</v>
      </c>
      <c r="N118" s="487"/>
      <c r="O118" s="478">
        <f t="shared" si="16"/>
        <v>0</v>
      </c>
      <c r="P118" s="478">
        <f t="shared" si="17"/>
        <v>0</v>
      </c>
    </row>
    <row r="119" spans="2:16">
      <c r="B119" s="160" t="str">
        <f t="shared" si="18"/>
        <v/>
      </c>
      <c r="C119" s="472">
        <f>IF(D93="","-",+C118+1)</f>
        <v>2035</v>
      </c>
      <c r="D119" s="347">
        <f>IF(F118+SUM(E$99:E118)=D$92,F118,D$92-SUM(E$99:E118))</f>
        <v>920724</v>
      </c>
      <c r="E119" s="484">
        <f t="shared" si="20"/>
        <v>41269</v>
      </c>
      <c r="F119" s="485">
        <f t="shared" si="21"/>
        <v>879455</v>
      </c>
      <c r="G119" s="485">
        <f t="shared" si="22"/>
        <v>900089.5</v>
      </c>
      <c r="H119" s="486">
        <f t="shared" si="23"/>
        <v>143692.69818329375</v>
      </c>
      <c r="I119" s="542">
        <f t="shared" si="24"/>
        <v>143692.69818329375</v>
      </c>
      <c r="J119" s="478">
        <f t="shared" si="19"/>
        <v>0</v>
      </c>
      <c r="K119" s="478"/>
      <c r="L119" s="487"/>
      <c r="M119" s="478">
        <f t="shared" si="15"/>
        <v>0</v>
      </c>
      <c r="N119" s="487"/>
      <c r="O119" s="478">
        <f t="shared" si="16"/>
        <v>0</v>
      </c>
      <c r="P119" s="478">
        <f t="shared" si="17"/>
        <v>0</v>
      </c>
    </row>
    <row r="120" spans="2:16">
      <c r="B120" s="160" t="str">
        <f t="shared" si="18"/>
        <v/>
      </c>
      <c r="C120" s="472">
        <f>IF(D93="","-",+C119+1)</f>
        <v>2036</v>
      </c>
      <c r="D120" s="347">
        <f>IF(F119+SUM(E$99:E119)=D$92,F119,D$92-SUM(E$99:E119))</f>
        <v>879455</v>
      </c>
      <c r="E120" s="484">
        <f t="shared" si="20"/>
        <v>41269</v>
      </c>
      <c r="F120" s="485">
        <f t="shared" si="21"/>
        <v>838186</v>
      </c>
      <c r="G120" s="485">
        <f t="shared" si="22"/>
        <v>858820.5</v>
      </c>
      <c r="H120" s="486">
        <f t="shared" si="23"/>
        <v>138996.58340767826</v>
      </c>
      <c r="I120" s="542">
        <f t="shared" si="24"/>
        <v>138996.58340767826</v>
      </c>
      <c r="J120" s="478">
        <f t="shared" si="19"/>
        <v>0</v>
      </c>
      <c r="K120" s="478"/>
      <c r="L120" s="487"/>
      <c r="M120" s="478">
        <f t="shared" si="15"/>
        <v>0</v>
      </c>
      <c r="N120" s="487"/>
      <c r="O120" s="478">
        <f t="shared" si="16"/>
        <v>0</v>
      </c>
      <c r="P120" s="478">
        <f t="shared" si="17"/>
        <v>0</v>
      </c>
    </row>
    <row r="121" spans="2:16">
      <c r="B121" s="160" t="str">
        <f t="shared" si="18"/>
        <v/>
      </c>
      <c r="C121" s="472">
        <f>IF(D93="","-",+C120+1)</f>
        <v>2037</v>
      </c>
      <c r="D121" s="347">
        <f>IF(F120+SUM(E$99:E120)=D$92,F120,D$92-SUM(E$99:E120))</f>
        <v>838186</v>
      </c>
      <c r="E121" s="484">
        <f t="shared" si="20"/>
        <v>41269</v>
      </c>
      <c r="F121" s="485">
        <f t="shared" si="21"/>
        <v>796917</v>
      </c>
      <c r="G121" s="485">
        <f t="shared" si="22"/>
        <v>817551.5</v>
      </c>
      <c r="H121" s="486">
        <f t="shared" si="23"/>
        <v>134300.46863206278</v>
      </c>
      <c r="I121" s="542">
        <f t="shared" si="24"/>
        <v>134300.46863206278</v>
      </c>
      <c r="J121" s="478">
        <f t="shared" si="19"/>
        <v>0</v>
      </c>
      <c r="K121" s="478"/>
      <c r="L121" s="487"/>
      <c r="M121" s="478">
        <f t="shared" si="15"/>
        <v>0</v>
      </c>
      <c r="N121" s="487"/>
      <c r="O121" s="478">
        <f t="shared" si="16"/>
        <v>0</v>
      </c>
      <c r="P121" s="478">
        <f t="shared" si="17"/>
        <v>0</v>
      </c>
    </row>
    <row r="122" spans="2:16">
      <c r="B122" s="160" t="str">
        <f t="shared" si="18"/>
        <v/>
      </c>
      <c r="C122" s="472">
        <f>IF(D93="","-",+C121+1)</f>
        <v>2038</v>
      </c>
      <c r="D122" s="347">
        <f>IF(F121+SUM(E$99:E121)=D$92,F121,D$92-SUM(E$99:E121))</f>
        <v>796917</v>
      </c>
      <c r="E122" s="484">
        <f t="shared" si="20"/>
        <v>41269</v>
      </c>
      <c r="F122" s="485">
        <f t="shared" si="21"/>
        <v>755648</v>
      </c>
      <c r="G122" s="485">
        <f t="shared" si="22"/>
        <v>776282.5</v>
      </c>
      <c r="H122" s="486">
        <f t="shared" si="23"/>
        <v>129604.3538564473</v>
      </c>
      <c r="I122" s="542">
        <f t="shared" si="24"/>
        <v>129604.3538564473</v>
      </c>
      <c r="J122" s="478">
        <f t="shared" si="19"/>
        <v>0</v>
      </c>
      <c r="K122" s="478"/>
      <c r="L122" s="487"/>
      <c r="M122" s="478">
        <f t="shared" si="15"/>
        <v>0</v>
      </c>
      <c r="N122" s="487"/>
      <c r="O122" s="478">
        <f t="shared" si="16"/>
        <v>0</v>
      </c>
      <c r="P122" s="478">
        <f t="shared" si="17"/>
        <v>0</v>
      </c>
    </row>
    <row r="123" spans="2:16">
      <c r="B123" s="160" t="str">
        <f t="shared" si="18"/>
        <v/>
      </c>
      <c r="C123" s="472">
        <f>IF(D93="","-",+C122+1)</f>
        <v>2039</v>
      </c>
      <c r="D123" s="347">
        <f>IF(F122+SUM(E$99:E122)=D$92,F122,D$92-SUM(E$99:E122))</f>
        <v>755648</v>
      </c>
      <c r="E123" s="484">
        <f t="shared" si="20"/>
        <v>41269</v>
      </c>
      <c r="F123" s="485">
        <f t="shared" si="21"/>
        <v>714379</v>
      </c>
      <c r="G123" s="485">
        <f t="shared" si="22"/>
        <v>735013.5</v>
      </c>
      <c r="H123" s="486">
        <f t="shared" si="23"/>
        <v>124908.23908083182</v>
      </c>
      <c r="I123" s="542">
        <f t="shared" si="24"/>
        <v>124908.23908083182</v>
      </c>
      <c r="J123" s="478">
        <f t="shared" si="19"/>
        <v>0</v>
      </c>
      <c r="K123" s="478"/>
      <c r="L123" s="487"/>
      <c r="M123" s="478">
        <f t="shared" si="15"/>
        <v>0</v>
      </c>
      <c r="N123" s="487"/>
      <c r="O123" s="478">
        <f t="shared" si="16"/>
        <v>0</v>
      </c>
      <c r="P123" s="478">
        <f t="shared" si="17"/>
        <v>0</v>
      </c>
    </row>
    <row r="124" spans="2:16">
      <c r="B124" s="160" t="str">
        <f t="shared" si="18"/>
        <v/>
      </c>
      <c r="C124" s="472">
        <f>IF(D93="","-",+C123+1)</f>
        <v>2040</v>
      </c>
      <c r="D124" s="347">
        <f>IF(F123+SUM(E$99:E123)=D$92,F123,D$92-SUM(E$99:E123))</f>
        <v>714379</v>
      </c>
      <c r="E124" s="484">
        <f t="shared" si="20"/>
        <v>41269</v>
      </c>
      <c r="F124" s="485">
        <f t="shared" si="21"/>
        <v>673110</v>
      </c>
      <c r="G124" s="485">
        <f t="shared" si="22"/>
        <v>693744.5</v>
      </c>
      <c r="H124" s="486">
        <f t="shared" si="23"/>
        <v>120212.12430521635</v>
      </c>
      <c r="I124" s="542">
        <f t="shared" si="24"/>
        <v>120212.12430521635</v>
      </c>
      <c r="J124" s="478">
        <f t="shared" si="19"/>
        <v>0</v>
      </c>
      <c r="K124" s="478"/>
      <c r="L124" s="487"/>
      <c r="M124" s="478">
        <f t="shared" si="15"/>
        <v>0</v>
      </c>
      <c r="N124" s="487"/>
      <c r="O124" s="478">
        <f t="shared" si="16"/>
        <v>0</v>
      </c>
      <c r="P124" s="478">
        <f t="shared" si="17"/>
        <v>0</v>
      </c>
    </row>
    <row r="125" spans="2:16">
      <c r="B125" s="160" t="str">
        <f t="shared" si="18"/>
        <v/>
      </c>
      <c r="C125" s="472">
        <f>IF(D93="","-",+C124+1)</f>
        <v>2041</v>
      </c>
      <c r="D125" s="347">
        <f>IF(F124+SUM(E$99:E124)=D$92,F124,D$92-SUM(E$99:E124))</f>
        <v>673110</v>
      </c>
      <c r="E125" s="484">
        <f t="shared" si="20"/>
        <v>41269</v>
      </c>
      <c r="F125" s="485">
        <f t="shared" si="21"/>
        <v>631841</v>
      </c>
      <c r="G125" s="485">
        <f t="shared" si="22"/>
        <v>652475.5</v>
      </c>
      <c r="H125" s="486">
        <f t="shared" si="23"/>
        <v>115516.00952960087</v>
      </c>
      <c r="I125" s="542">
        <f t="shared" si="24"/>
        <v>115516.00952960087</v>
      </c>
      <c r="J125" s="478">
        <f t="shared" si="19"/>
        <v>0</v>
      </c>
      <c r="K125" s="478"/>
      <c r="L125" s="487"/>
      <c r="M125" s="478">
        <f t="shared" si="15"/>
        <v>0</v>
      </c>
      <c r="N125" s="487"/>
      <c r="O125" s="478">
        <f t="shared" si="16"/>
        <v>0</v>
      </c>
      <c r="P125" s="478">
        <f t="shared" si="17"/>
        <v>0</v>
      </c>
    </row>
    <row r="126" spans="2:16">
      <c r="B126" s="160" t="str">
        <f t="shared" si="18"/>
        <v/>
      </c>
      <c r="C126" s="472">
        <f>IF(D93="","-",+C125+1)</f>
        <v>2042</v>
      </c>
      <c r="D126" s="347">
        <f>IF(F125+SUM(E$99:E125)=D$92,F125,D$92-SUM(E$99:E125))</f>
        <v>631841</v>
      </c>
      <c r="E126" s="484">
        <f t="shared" si="20"/>
        <v>41269</v>
      </c>
      <c r="F126" s="485">
        <f t="shared" si="21"/>
        <v>590572</v>
      </c>
      <c r="G126" s="485">
        <f t="shared" si="22"/>
        <v>611206.5</v>
      </c>
      <c r="H126" s="486">
        <f t="shared" si="23"/>
        <v>110819.89475398538</v>
      </c>
      <c r="I126" s="542">
        <f t="shared" si="24"/>
        <v>110819.89475398538</v>
      </c>
      <c r="J126" s="478">
        <f t="shared" si="19"/>
        <v>0</v>
      </c>
      <c r="K126" s="478"/>
      <c r="L126" s="487"/>
      <c r="M126" s="478">
        <f t="shared" si="15"/>
        <v>0</v>
      </c>
      <c r="N126" s="487"/>
      <c r="O126" s="478">
        <f t="shared" si="16"/>
        <v>0</v>
      </c>
      <c r="P126" s="478">
        <f t="shared" si="17"/>
        <v>0</v>
      </c>
    </row>
    <row r="127" spans="2:16">
      <c r="B127" s="160" t="str">
        <f t="shared" si="18"/>
        <v/>
      </c>
      <c r="C127" s="472">
        <f>IF(D93="","-",+C126+1)</f>
        <v>2043</v>
      </c>
      <c r="D127" s="347">
        <f>IF(F126+SUM(E$99:E126)=D$92,F126,D$92-SUM(E$99:E126))</f>
        <v>590572</v>
      </c>
      <c r="E127" s="484">
        <f t="shared" si="20"/>
        <v>41269</v>
      </c>
      <c r="F127" s="485">
        <f t="shared" si="21"/>
        <v>549303</v>
      </c>
      <c r="G127" s="485">
        <f t="shared" si="22"/>
        <v>569937.5</v>
      </c>
      <c r="H127" s="486">
        <f t="shared" si="23"/>
        <v>106123.7799783699</v>
      </c>
      <c r="I127" s="542">
        <f t="shared" si="24"/>
        <v>106123.7799783699</v>
      </c>
      <c r="J127" s="478">
        <f t="shared" si="19"/>
        <v>0</v>
      </c>
      <c r="K127" s="478"/>
      <c r="L127" s="487"/>
      <c r="M127" s="478">
        <f t="shared" si="15"/>
        <v>0</v>
      </c>
      <c r="N127" s="487"/>
      <c r="O127" s="478">
        <f t="shared" si="16"/>
        <v>0</v>
      </c>
      <c r="P127" s="478">
        <f t="shared" si="17"/>
        <v>0</v>
      </c>
    </row>
    <row r="128" spans="2:16">
      <c r="B128" s="160" t="str">
        <f t="shared" si="18"/>
        <v/>
      </c>
      <c r="C128" s="472">
        <f>IF(D93="","-",+C127+1)</f>
        <v>2044</v>
      </c>
      <c r="D128" s="347">
        <f>IF(F127+SUM(E$99:E127)=D$92,F127,D$92-SUM(E$99:E127))</f>
        <v>549303</v>
      </c>
      <c r="E128" s="484">
        <f t="shared" si="20"/>
        <v>41269</v>
      </c>
      <c r="F128" s="485">
        <f t="shared" si="21"/>
        <v>508034</v>
      </c>
      <c r="G128" s="485">
        <f t="shared" si="22"/>
        <v>528668.5</v>
      </c>
      <c r="H128" s="486">
        <f t="shared" si="23"/>
        <v>101427.66520275443</v>
      </c>
      <c r="I128" s="542">
        <f t="shared" si="24"/>
        <v>101427.66520275443</v>
      </c>
      <c r="J128" s="478">
        <f t="shared" si="19"/>
        <v>0</v>
      </c>
      <c r="K128" s="478"/>
      <c r="L128" s="487"/>
      <c r="M128" s="478">
        <f t="shared" si="15"/>
        <v>0</v>
      </c>
      <c r="N128" s="487"/>
      <c r="O128" s="478">
        <f t="shared" si="16"/>
        <v>0</v>
      </c>
      <c r="P128" s="478">
        <f t="shared" si="17"/>
        <v>0</v>
      </c>
    </row>
    <row r="129" spans="2:16">
      <c r="B129" s="160" t="str">
        <f t="shared" si="18"/>
        <v/>
      </c>
      <c r="C129" s="472">
        <f>IF(D93="","-",+C128+1)</f>
        <v>2045</v>
      </c>
      <c r="D129" s="347">
        <f>IF(F128+SUM(E$99:E128)=D$92,F128,D$92-SUM(E$99:E128))</f>
        <v>508034</v>
      </c>
      <c r="E129" s="484">
        <f t="shared" si="20"/>
        <v>41269</v>
      </c>
      <c r="F129" s="485">
        <f t="shared" si="21"/>
        <v>466765</v>
      </c>
      <c r="G129" s="485">
        <f t="shared" si="22"/>
        <v>487399.5</v>
      </c>
      <c r="H129" s="486">
        <f t="shared" si="23"/>
        <v>96731.550427138951</v>
      </c>
      <c r="I129" s="542">
        <f t="shared" si="24"/>
        <v>96731.550427138951</v>
      </c>
      <c r="J129" s="478">
        <f t="shared" si="19"/>
        <v>0</v>
      </c>
      <c r="K129" s="478"/>
      <c r="L129" s="487"/>
      <c r="M129" s="478">
        <f t="shared" si="15"/>
        <v>0</v>
      </c>
      <c r="N129" s="487"/>
      <c r="O129" s="478">
        <f t="shared" si="16"/>
        <v>0</v>
      </c>
      <c r="P129" s="478">
        <f t="shared" si="17"/>
        <v>0</v>
      </c>
    </row>
    <row r="130" spans="2:16">
      <c r="B130" s="160" t="str">
        <f t="shared" si="18"/>
        <v/>
      </c>
      <c r="C130" s="472">
        <f>IF(D93="","-",+C129+1)</f>
        <v>2046</v>
      </c>
      <c r="D130" s="347">
        <f>IF(F129+SUM(E$99:E129)=D$92,F129,D$92-SUM(E$99:E129))</f>
        <v>466765</v>
      </c>
      <c r="E130" s="484">
        <f t="shared" si="20"/>
        <v>41269</v>
      </c>
      <c r="F130" s="485">
        <f t="shared" si="21"/>
        <v>425496</v>
      </c>
      <c r="G130" s="485">
        <f t="shared" si="22"/>
        <v>446130.5</v>
      </c>
      <c r="H130" s="486">
        <f t="shared" si="23"/>
        <v>92035.435651523469</v>
      </c>
      <c r="I130" s="542">
        <f t="shared" si="24"/>
        <v>92035.435651523469</v>
      </c>
      <c r="J130" s="478">
        <f t="shared" si="19"/>
        <v>0</v>
      </c>
      <c r="K130" s="478"/>
      <c r="L130" s="487"/>
      <c r="M130" s="478">
        <f t="shared" si="15"/>
        <v>0</v>
      </c>
      <c r="N130" s="487"/>
      <c r="O130" s="478">
        <f t="shared" si="16"/>
        <v>0</v>
      </c>
      <c r="P130" s="478">
        <f t="shared" si="17"/>
        <v>0</v>
      </c>
    </row>
    <row r="131" spans="2:16">
      <c r="B131" s="160" t="str">
        <f t="shared" si="18"/>
        <v/>
      </c>
      <c r="C131" s="472">
        <f>IF(D93="","-",+C130+1)</f>
        <v>2047</v>
      </c>
      <c r="D131" s="347">
        <f>IF(F130+SUM(E$99:E130)=D$92,F130,D$92-SUM(E$99:E130))</f>
        <v>425496</v>
      </c>
      <c r="E131" s="484">
        <f t="shared" si="20"/>
        <v>41269</v>
      </c>
      <c r="F131" s="485">
        <f t="shared" si="21"/>
        <v>384227</v>
      </c>
      <c r="G131" s="485">
        <f t="shared" si="22"/>
        <v>404861.5</v>
      </c>
      <c r="H131" s="486">
        <f t="shared" si="23"/>
        <v>87339.320875907986</v>
      </c>
      <c r="I131" s="542">
        <f t="shared" si="24"/>
        <v>87339.320875907986</v>
      </c>
      <c r="J131" s="478">
        <f t="shared" si="19"/>
        <v>0</v>
      </c>
      <c r="K131" s="478"/>
      <c r="L131" s="487"/>
      <c r="M131" s="478">
        <f t="shared" ref="M131:M154" si="25">IF(L541&lt;&gt;0,+H541-L541,0)</f>
        <v>0</v>
      </c>
      <c r="N131" s="487"/>
      <c r="O131" s="478">
        <f t="shared" ref="O131:O154" si="26">IF(N541&lt;&gt;0,+I541-N541,0)</f>
        <v>0</v>
      </c>
      <c r="P131" s="478">
        <f t="shared" ref="P131:P154" si="27">+O541-M541</f>
        <v>0</v>
      </c>
    </row>
    <row r="132" spans="2:16">
      <c r="B132" s="160" t="str">
        <f t="shared" si="18"/>
        <v/>
      </c>
      <c r="C132" s="472">
        <f>IF(D93="","-",+C131+1)</f>
        <v>2048</v>
      </c>
      <c r="D132" s="347">
        <f>IF(F131+SUM(E$99:E131)=D$92,F131,D$92-SUM(E$99:E131))</f>
        <v>384227</v>
      </c>
      <c r="E132" s="484">
        <f t="shared" si="20"/>
        <v>41269</v>
      </c>
      <c r="F132" s="485">
        <f t="shared" si="21"/>
        <v>342958</v>
      </c>
      <c r="G132" s="485">
        <f t="shared" si="22"/>
        <v>363592.5</v>
      </c>
      <c r="H132" s="486">
        <f t="shared" si="23"/>
        <v>82643.206100292504</v>
      </c>
      <c r="I132" s="542">
        <f t="shared" si="24"/>
        <v>82643.206100292504</v>
      </c>
      <c r="J132" s="478">
        <f t="shared" si="19"/>
        <v>0</v>
      </c>
      <c r="K132" s="478"/>
      <c r="L132" s="487"/>
      <c r="M132" s="478">
        <f t="shared" si="25"/>
        <v>0</v>
      </c>
      <c r="N132" s="487"/>
      <c r="O132" s="478">
        <f t="shared" si="26"/>
        <v>0</v>
      </c>
      <c r="P132" s="478">
        <f t="shared" si="27"/>
        <v>0</v>
      </c>
    </row>
    <row r="133" spans="2:16">
      <c r="B133" s="160" t="str">
        <f t="shared" si="18"/>
        <v/>
      </c>
      <c r="C133" s="472">
        <f>IF(D93="","-",+C132+1)</f>
        <v>2049</v>
      </c>
      <c r="D133" s="347">
        <f>IF(F132+SUM(E$99:E132)=D$92,F132,D$92-SUM(E$99:E132))</f>
        <v>342958</v>
      </c>
      <c r="E133" s="484">
        <f t="shared" si="20"/>
        <v>41269</v>
      </c>
      <c r="F133" s="485">
        <f t="shared" si="21"/>
        <v>301689</v>
      </c>
      <c r="G133" s="485">
        <f t="shared" si="22"/>
        <v>322323.5</v>
      </c>
      <c r="H133" s="486">
        <f t="shared" si="23"/>
        <v>77947.091324677021</v>
      </c>
      <c r="I133" s="542">
        <f t="shared" si="24"/>
        <v>77947.091324677021</v>
      </c>
      <c r="J133" s="478">
        <f t="shared" si="19"/>
        <v>0</v>
      </c>
      <c r="K133" s="478"/>
      <c r="L133" s="487"/>
      <c r="M133" s="478">
        <f t="shared" si="25"/>
        <v>0</v>
      </c>
      <c r="N133" s="487"/>
      <c r="O133" s="478">
        <f t="shared" si="26"/>
        <v>0</v>
      </c>
      <c r="P133" s="478">
        <f t="shared" si="27"/>
        <v>0</v>
      </c>
    </row>
    <row r="134" spans="2:16">
      <c r="B134" s="160" t="str">
        <f t="shared" si="18"/>
        <v/>
      </c>
      <c r="C134" s="472">
        <f>IF(D93="","-",+C133+1)</f>
        <v>2050</v>
      </c>
      <c r="D134" s="347">
        <f>IF(F133+SUM(E$99:E133)=D$92,F133,D$92-SUM(E$99:E133))</f>
        <v>301689</v>
      </c>
      <c r="E134" s="484">
        <f t="shared" si="20"/>
        <v>41269</v>
      </c>
      <c r="F134" s="485">
        <f t="shared" si="21"/>
        <v>260420</v>
      </c>
      <c r="G134" s="485">
        <f t="shared" si="22"/>
        <v>281054.5</v>
      </c>
      <c r="H134" s="486">
        <f t="shared" si="23"/>
        <v>73250.976549061539</v>
      </c>
      <c r="I134" s="542">
        <f t="shared" si="24"/>
        <v>73250.976549061539</v>
      </c>
      <c r="J134" s="478">
        <f t="shared" si="19"/>
        <v>0</v>
      </c>
      <c r="K134" s="478"/>
      <c r="L134" s="487"/>
      <c r="M134" s="478">
        <f t="shared" si="25"/>
        <v>0</v>
      </c>
      <c r="N134" s="487"/>
      <c r="O134" s="478">
        <f t="shared" si="26"/>
        <v>0</v>
      </c>
      <c r="P134" s="478">
        <f t="shared" si="27"/>
        <v>0</v>
      </c>
    </row>
    <row r="135" spans="2:16">
      <c r="B135" s="160" t="str">
        <f t="shared" si="18"/>
        <v/>
      </c>
      <c r="C135" s="472">
        <f>IF(D93="","-",+C134+1)</f>
        <v>2051</v>
      </c>
      <c r="D135" s="347">
        <f>IF(F134+SUM(E$99:E134)=D$92,F134,D$92-SUM(E$99:E134))</f>
        <v>260420</v>
      </c>
      <c r="E135" s="484">
        <f t="shared" si="20"/>
        <v>41269</v>
      </c>
      <c r="F135" s="485">
        <f t="shared" si="21"/>
        <v>219151</v>
      </c>
      <c r="G135" s="485">
        <f t="shared" si="22"/>
        <v>239785.5</v>
      </c>
      <c r="H135" s="486">
        <f t="shared" si="23"/>
        <v>68554.861773446057</v>
      </c>
      <c r="I135" s="542">
        <f t="shared" si="24"/>
        <v>68554.861773446057</v>
      </c>
      <c r="J135" s="478">
        <f t="shared" si="19"/>
        <v>0</v>
      </c>
      <c r="K135" s="478"/>
      <c r="L135" s="487"/>
      <c r="M135" s="478">
        <f t="shared" si="25"/>
        <v>0</v>
      </c>
      <c r="N135" s="487"/>
      <c r="O135" s="478">
        <f t="shared" si="26"/>
        <v>0</v>
      </c>
      <c r="P135" s="478">
        <f t="shared" si="27"/>
        <v>0</v>
      </c>
    </row>
    <row r="136" spans="2:16">
      <c r="B136" s="160" t="str">
        <f t="shared" si="18"/>
        <v/>
      </c>
      <c r="C136" s="472">
        <f>IF(D93="","-",+C135+1)</f>
        <v>2052</v>
      </c>
      <c r="D136" s="347">
        <f>IF(F135+SUM(E$99:E135)=D$92,F135,D$92-SUM(E$99:E135))</f>
        <v>219151</v>
      </c>
      <c r="E136" s="484">
        <f t="shared" si="20"/>
        <v>41269</v>
      </c>
      <c r="F136" s="485">
        <f t="shared" si="21"/>
        <v>177882</v>
      </c>
      <c r="G136" s="485">
        <f t="shared" si="22"/>
        <v>198516.5</v>
      </c>
      <c r="H136" s="486">
        <f t="shared" si="23"/>
        <v>63858.746997830589</v>
      </c>
      <c r="I136" s="542">
        <f t="shared" si="24"/>
        <v>63858.746997830589</v>
      </c>
      <c r="J136" s="478">
        <f t="shared" si="19"/>
        <v>0</v>
      </c>
      <c r="K136" s="478"/>
      <c r="L136" s="487"/>
      <c r="M136" s="478">
        <f t="shared" si="25"/>
        <v>0</v>
      </c>
      <c r="N136" s="487"/>
      <c r="O136" s="478">
        <f t="shared" si="26"/>
        <v>0</v>
      </c>
      <c r="P136" s="478">
        <f t="shared" si="27"/>
        <v>0</v>
      </c>
    </row>
    <row r="137" spans="2:16">
      <c r="B137" s="160" t="str">
        <f t="shared" si="18"/>
        <v/>
      </c>
      <c r="C137" s="472">
        <f>IF(D93="","-",+C136+1)</f>
        <v>2053</v>
      </c>
      <c r="D137" s="347">
        <f>IF(F136+SUM(E$99:E136)=D$92,F136,D$92-SUM(E$99:E136))</f>
        <v>177882</v>
      </c>
      <c r="E137" s="484">
        <f t="shared" si="20"/>
        <v>41269</v>
      </c>
      <c r="F137" s="485">
        <f t="shared" si="21"/>
        <v>136613</v>
      </c>
      <c r="G137" s="485">
        <f t="shared" si="22"/>
        <v>157247.5</v>
      </c>
      <c r="H137" s="486">
        <f t="shared" si="23"/>
        <v>59162.632222215107</v>
      </c>
      <c r="I137" s="542">
        <f t="shared" si="24"/>
        <v>59162.632222215107</v>
      </c>
      <c r="J137" s="478">
        <f t="shared" si="19"/>
        <v>0</v>
      </c>
      <c r="K137" s="478"/>
      <c r="L137" s="487"/>
      <c r="M137" s="478">
        <f t="shared" si="25"/>
        <v>0</v>
      </c>
      <c r="N137" s="487"/>
      <c r="O137" s="478">
        <f t="shared" si="26"/>
        <v>0</v>
      </c>
      <c r="P137" s="478">
        <f t="shared" si="27"/>
        <v>0</v>
      </c>
    </row>
    <row r="138" spans="2:16">
      <c r="B138" s="160" t="str">
        <f t="shared" si="18"/>
        <v/>
      </c>
      <c r="C138" s="472">
        <f>IF(D93="","-",+C137+1)</f>
        <v>2054</v>
      </c>
      <c r="D138" s="347">
        <f>IF(F137+SUM(E$99:E137)=D$92,F137,D$92-SUM(E$99:E137))</f>
        <v>136613</v>
      </c>
      <c r="E138" s="484">
        <f t="shared" si="20"/>
        <v>41269</v>
      </c>
      <c r="F138" s="485">
        <f t="shared" si="21"/>
        <v>95344</v>
      </c>
      <c r="G138" s="485">
        <f t="shared" si="22"/>
        <v>115978.5</v>
      </c>
      <c r="H138" s="486">
        <f t="shared" si="23"/>
        <v>54466.517446599624</v>
      </c>
      <c r="I138" s="542">
        <f t="shared" si="24"/>
        <v>54466.517446599624</v>
      </c>
      <c r="J138" s="478">
        <f t="shared" si="19"/>
        <v>0</v>
      </c>
      <c r="K138" s="478"/>
      <c r="L138" s="487"/>
      <c r="M138" s="478">
        <f t="shared" si="25"/>
        <v>0</v>
      </c>
      <c r="N138" s="487"/>
      <c r="O138" s="478">
        <f t="shared" si="26"/>
        <v>0</v>
      </c>
      <c r="P138" s="478">
        <f t="shared" si="27"/>
        <v>0</v>
      </c>
    </row>
    <row r="139" spans="2:16">
      <c r="B139" s="160" t="str">
        <f t="shared" si="18"/>
        <v/>
      </c>
      <c r="C139" s="472">
        <f>IF(D93="","-",+C138+1)</f>
        <v>2055</v>
      </c>
      <c r="D139" s="347">
        <f>IF(F138+SUM(E$99:E138)=D$92,F138,D$92-SUM(E$99:E138))</f>
        <v>95344</v>
      </c>
      <c r="E139" s="484">
        <f t="shared" si="20"/>
        <v>41269</v>
      </c>
      <c r="F139" s="485">
        <f t="shared" si="21"/>
        <v>54075</v>
      </c>
      <c r="G139" s="485">
        <f t="shared" si="22"/>
        <v>74709.5</v>
      </c>
      <c r="H139" s="486">
        <f t="shared" si="23"/>
        <v>49770.402670984142</v>
      </c>
      <c r="I139" s="542">
        <f t="shared" si="24"/>
        <v>49770.402670984142</v>
      </c>
      <c r="J139" s="478">
        <f t="shared" si="19"/>
        <v>0</v>
      </c>
      <c r="K139" s="478"/>
      <c r="L139" s="487"/>
      <c r="M139" s="478">
        <f t="shared" si="25"/>
        <v>0</v>
      </c>
      <c r="N139" s="487"/>
      <c r="O139" s="478">
        <f t="shared" si="26"/>
        <v>0</v>
      </c>
      <c r="P139" s="478">
        <f t="shared" si="27"/>
        <v>0</v>
      </c>
    </row>
    <row r="140" spans="2:16">
      <c r="B140" s="160" t="str">
        <f t="shared" si="18"/>
        <v/>
      </c>
      <c r="C140" s="472">
        <f>IF(D93="","-",+C139+1)</f>
        <v>2056</v>
      </c>
      <c r="D140" s="347">
        <f>IF(F139+SUM(E$99:E139)=D$92,F139,D$92-SUM(E$99:E139))</f>
        <v>54075</v>
      </c>
      <c r="E140" s="484">
        <f t="shared" si="20"/>
        <v>41269</v>
      </c>
      <c r="F140" s="485">
        <f t="shared" si="21"/>
        <v>12806</v>
      </c>
      <c r="G140" s="485">
        <f t="shared" si="22"/>
        <v>33440.5</v>
      </c>
      <c r="H140" s="486">
        <f t="shared" si="23"/>
        <v>45074.287895368667</v>
      </c>
      <c r="I140" s="542">
        <f t="shared" si="24"/>
        <v>45074.287895368667</v>
      </c>
      <c r="J140" s="478">
        <f t="shared" si="19"/>
        <v>0</v>
      </c>
      <c r="K140" s="478"/>
      <c r="L140" s="487"/>
      <c r="M140" s="478">
        <f t="shared" si="25"/>
        <v>0</v>
      </c>
      <c r="N140" s="487"/>
      <c r="O140" s="478">
        <f t="shared" si="26"/>
        <v>0</v>
      </c>
      <c r="P140" s="478">
        <f t="shared" si="27"/>
        <v>0</v>
      </c>
    </row>
    <row r="141" spans="2:16">
      <c r="B141" s="160" t="str">
        <f t="shared" si="18"/>
        <v/>
      </c>
      <c r="C141" s="472">
        <f>IF(D93="","-",+C140+1)</f>
        <v>2057</v>
      </c>
      <c r="D141" s="347">
        <f>IF(F140+SUM(E$99:E140)=D$92,F140,D$92-SUM(E$99:E140))</f>
        <v>12806</v>
      </c>
      <c r="E141" s="484">
        <f t="shared" si="20"/>
        <v>12806</v>
      </c>
      <c r="F141" s="485">
        <f t="shared" si="21"/>
        <v>0</v>
      </c>
      <c r="G141" s="485">
        <f t="shared" si="22"/>
        <v>6403</v>
      </c>
      <c r="H141" s="486">
        <f t="shared" si="23"/>
        <v>13534.615253780463</v>
      </c>
      <c r="I141" s="542">
        <f t="shared" si="24"/>
        <v>13534.615253780463</v>
      </c>
      <c r="J141" s="478">
        <f t="shared" si="19"/>
        <v>0</v>
      </c>
      <c r="K141" s="478"/>
      <c r="L141" s="487"/>
      <c r="M141" s="478">
        <f t="shared" si="25"/>
        <v>0</v>
      </c>
      <c r="N141" s="487"/>
      <c r="O141" s="478">
        <f t="shared" si="26"/>
        <v>0</v>
      </c>
      <c r="P141" s="478">
        <f t="shared" si="27"/>
        <v>0</v>
      </c>
    </row>
    <row r="142" spans="2:16">
      <c r="B142" s="160" t="str">
        <f t="shared" si="18"/>
        <v/>
      </c>
      <c r="C142" s="472">
        <f>IF(D93="","-",+C141+1)</f>
        <v>2058</v>
      </c>
      <c r="D142" s="347">
        <f>IF(F141+SUM(E$99:E141)=D$92,F141,D$92-SUM(E$99:E141))</f>
        <v>0</v>
      </c>
      <c r="E142" s="484">
        <f t="shared" si="20"/>
        <v>0</v>
      </c>
      <c r="F142" s="485">
        <f t="shared" si="21"/>
        <v>0</v>
      </c>
      <c r="G142" s="485">
        <f t="shared" si="22"/>
        <v>0</v>
      </c>
      <c r="H142" s="486">
        <f t="shared" si="23"/>
        <v>0</v>
      </c>
      <c r="I142" s="542">
        <f t="shared" si="24"/>
        <v>0</v>
      </c>
      <c r="J142" s="478">
        <f t="shared" si="19"/>
        <v>0</v>
      </c>
      <c r="K142" s="478"/>
      <c r="L142" s="487"/>
      <c r="M142" s="478">
        <f t="shared" si="25"/>
        <v>0</v>
      </c>
      <c r="N142" s="487"/>
      <c r="O142" s="478">
        <f t="shared" si="26"/>
        <v>0</v>
      </c>
      <c r="P142" s="478">
        <f t="shared" si="27"/>
        <v>0</v>
      </c>
    </row>
    <row r="143" spans="2:16">
      <c r="B143" s="160" t="str">
        <f t="shared" si="18"/>
        <v/>
      </c>
      <c r="C143" s="472">
        <f>IF(D93="","-",+C142+1)</f>
        <v>2059</v>
      </c>
      <c r="D143" s="347">
        <f>IF(F142+SUM(E$99:E142)=D$92,F142,D$92-SUM(E$99:E142))</f>
        <v>0</v>
      </c>
      <c r="E143" s="484">
        <f t="shared" si="20"/>
        <v>0</v>
      </c>
      <c r="F143" s="485">
        <f t="shared" si="21"/>
        <v>0</v>
      </c>
      <c r="G143" s="485">
        <f t="shared" si="22"/>
        <v>0</v>
      </c>
      <c r="H143" s="486">
        <f t="shared" si="23"/>
        <v>0</v>
      </c>
      <c r="I143" s="542">
        <f t="shared" si="24"/>
        <v>0</v>
      </c>
      <c r="J143" s="478">
        <f t="shared" si="19"/>
        <v>0</v>
      </c>
      <c r="K143" s="478"/>
      <c r="L143" s="487"/>
      <c r="M143" s="478">
        <f t="shared" si="25"/>
        <v>0</v>
      </c>
      <c r="N143" s="487"/>
      <c r="O143" s="478">
        <f t="shared" si="26"/>
        <v>0</v>
      </c>
      <c r="P143" s="478">
        <f t="shared" si="27"/>
        <v>0</v>
      </c>
    </row>
    <row r="144" spans="2:16">
      <c r="B144" s="160" t="str">
        <f t="shared" si="18"/>
        <v/>
      </c>
      <c r="C144" s="472">
        <f>IF(D93="","-",+C143+1)</f>
        <v>2060</v>
      </c>
      <c r="D144" s="347">
        <f>IF(F143+SUM(E$99:E143)=D$92,F143,D$92-SUM(E$99:E143))</f>
        <v>0</v>
      </c>
      <c r="E144" s="484">
        <f t="shared" si="20"/>
        <v>0</v>
      </c>
      <c r="F144" s="485">
        <f t="shared" si="21"/>
        <v>0</v>
      </c>
      <c r="G144" s="485">
        <f t="shared" si="22"/>
        <v>0</v>
      </c>
      <c r="H144" s="486">
        <f t="shared" si="23"/>
        <v>0</v>
      </c>
      <c r="I144" s="542">
        <f t="shared" si="24"/>
        <v>0</v>
      </c>
      <c r="J144" s="478">
        <f t="shared" si="19"/>
        <v>0</v>
      </c>
      <c r="K144" s="478"/>
      <c r="L144" s="487"/>
      <c r="M144" s="478">
        <f t="shared" si="25"/>
        <v>0</v>
      </c>
      <c r="N144" s="487"/>
      <c r="O144" s="478">
        <f t="shared" si="26"/>
        <v>0</v>
      </c>
      <c r="P144" s="478">
        <f t="shared" si="27"/>
        <v>0</v>
      </c>
    </row>
    <row r="145" spans="2:16">
      <c r="B145" s="160" t="str">
        <f t="shared" si="18"/>
        <v/>
      </c>
      <c r="C145" s="472">
        <f>IF(D93="","-",+C144+1)</f>
        <v>2061</v>
      </c>
      <c r="D145" s="347">
        <f>IF(F144+SUM(E$99:E144)=D$92,F144,D$92-SUM(E$99:E144))</f>
        <v>0</v>
      </c>
      <c r="E145" s="484">
        <f t="shared" si="20"/>
        <v>0</v>
      </c>
      <c r="F145" s="485">
        <f t="shared" si="21"/>
        <v>0</v>
      </c>
      <c r="G145" s="485">
        <f t="shared" si="22"/>
        <v>0</v>
      </c>
      <c r="H145" s="486">
        <f t="shared" si="23"/>
        <v>0</v>
      </c>
      <c r="I145" s="542">
        <f t="shared" si="24"/>
        <v>0</v>
      </c>
      <c r="J145" s="478">
        <f t="shared" si="19"/>
        <v>0</v>
      </c>
      <c r="K145" s="478"/>
      <c r="L145" s="487"/>
      <c r="M145" s="478">
        <f t="shared" si="25"/>
        <v>0</v>
      </c>
      <c r="N145" s="487"/>
      <c r="O145" s="478">
        <f t="shared" si="26"/>
        <v>0</v>
      </c>
      <c r="P145" s="478">
        <f t="shared" si="27"/>
        <v>0</v>
      </c>
    </row>
    <row r="146" spans="2:16">
      <c r="B146" s="160" t="str">
        <f t="shared" si="18"/>
        <v/>
      </c>
      <c r="C146" s="472">
        <f>IF(D93="","-",+C145+1)</f>
        <v>2062</v>
      </c>
      <c r="D146" s="347">
        <f>IF(F145+SUM(E$99:E145)=D$92,F145,D$92-SUM(E$99:E145))</f>
        <v>0</v>
      </c>
      <c r="E146" s="484">
        <f t="shared" si="20"/>
        <v>0</v>
      </c>
      <c r="F146" s="485">
        <f t="shared" si="21"/>
        <v>0</v>
      </c>
      <c r="G146" s="485">
        <f t="shared" si="22"/>
        <v>0</v>
      </c>
      <c r="H146" s="486">
        <f t="shared" si="23"/>
        <v>0</v>
      </c>
      <c r="I146" s="542">
        <f t="shared" si="24"/>
        <v>0</v>
      </c>
      <c r="J146" s="478">
        <f t="shared" si="19"/>
        <v>0</v>
      </c>
      <c r="K146" s="478"/>
      <c r="L146" s="487"/>
      <c r="M146" s="478">
        <f t="shared" si="25"/>
        <v>0</v>
      </c>
      <c r="N146" s="487"/>
      <c r="O146" s="478">
        <f t="shared" si="26"/>
        <v>0</v>
      </c>
      <c r="P146" s="478">
        <f t="shared" si="27"/>
        <v>0</v>
      </c>
    </row>
    <row r="147" spans="2:16">
      <c r="B147" s="160" t="str">
        <f t="shared" si="18"/>
        <v/>
      </c>
      <c r="C147" s="472">
        <f>IF(D93="","-",+C146+1)</f>
        <v>2063</v>
      </c>
      <c r="D147" s="347">
        <f>IF(F146+SUM(E$99:E146)=D$92,F146,D$92-SUM(E$99:E146))</f>
        <v>0</v>
      </c>
      <c r="E147" s="484">
        <f t="shared" si="20"/>
        <v>0</v>
      </c>
      <c r="F147" s="485">
        <f t="shared" si="21"/>
        <v>0</v>
      </c>
      <c r="G147" s="485">
        <f t="shared" si="22"/>
        <v>0</v>
      </c>
      <c r="H147" s="486">
        <f t="shared" si="23"/>
        <v>0</v>
      </c>
      <c r="I147" s="542">
        <f t="shared" si="24"/>
        <v>0</v>
      </c>
      <c r="J147" s="478">
        <f t="shared" si="19"/>
        <v>0</v>
      </c>
      <c r="K147" s="478"/>
      <c r="L147" s="487"/>
      <c r="M147" s="478">
        <f t="shared" si="25"/>
        <v>0</v>
      </c>
      <c r="N147" s="487"/>
      <c r="O147" s="478">
        <f t="shared" si="26"/>
        <v>0</v>
      </c>
      <c r="P147" s="478">
        <f t="shared" si="27"/>
        <v>0</v>
      </c>
    </row>
    <row r="148" spans="2:16">
      <c r="B148" s="160" t="str">
        <f t="shared" si="18"/>
        <v/>
      </c>
      <c r="C148" s="472">
        <f>IF(D93="","-",+C147+1)</f>
        <v>2064</v>
      </c>
      <c r="D148" s="347">
        <f>IF(F147+SUM(E$99:E147)=D$92,F147,D$92-SUM(E$99:E147))</f>
        <v>0</v>
      </c>
      <c r="E148" s="484">
        <f t="shared" si="20"/>
        <v>0</v>
      </c>
      <c r="F148" s="485">
        <f t="shared" si="21"/>
        <v>0</v>
      </c>
      <c r="G148" s="485">
        <f t="shared" si="22"/>
        <v>0</v>
      </c>
      <c r="H148" s="486">
        <f t="shared" si="23"/>
        <v>0</v>
      </c>
      <c r="I148" s="542">
        <f t="shared" si="24"/>
        <v>0</v>
      </c>
      <c r="J148" s="478">
        <f t="shared" si="19"/>
        <v>0</v>
      </c>
      <c r="K148" s="478"/>
      <c r="L148" s="487"/>
      <c r="M148" s="478">
        <f t="shared" si="25"/>
        <v>0</v>
      </c>
      <c r="N148" s="487"/>
      <c r="O148" s="478">
        <f t="shared" si="26"/>
        <v>0</v>
      </c>
      <c r="P148" s="478">
        <f t="shared" si="27"/>
        <v>0</v>
      </c>
    </row>
    <row r="149" spans="2:16">
      <c r="B149" s="160" t="str">
        <f t="shared" si="18"/>
        <v/>
      </c>
      <c r="C149" s="472">
        <f>IF(D93="","-",+C148+1)</f>
        <v>2065</v>
      </c>
      <c r="D149" s="347">
        <f>IF(F148+SUM(E$99:E148)=D$92,F148,D$92-SUM(E$99:E148))</f>
        <v>0</v>
      </c>
      <c r="E149" s="484">
        <f t="shared" si="20"/>
        <v>0</v>
      </c>
      <c r="F149" s="485">
        <f t="shared" si="21"/>
        <v>0</v>
      </c>
      <c r="G149" s="485">
        <f t="shared" si="22"/>
        <v>0</v>
      </c>
      <c r="H149" s="486">
        <f t="shared" si="23"/>
        <v>0</v>
      </c>
      <c r="I149" s="542">
        <f t="shared" si="24"/>
        <v>0</v>
      </c>
      <c r="J149" s="478">
        <f t="shared" si="19"/>
        <v>0</v>
      </c>
      <c r="K149" s="478"/>
      <c r="L149" s="487"/>
      <c r="M149" s="478">
        <f t="shared" si="25"/>
        <v>0</v>
      </c>
      <c r="N149" s="487"/>
      <c r="O149" s="478">
        <f t="shared" si="26"/>
        <v>0</v>
      </c>
      <c r="P149" s="478">
        <f t="shared" si="27"/>
        <v>0</v>
      </c>
    </row>
    <row r="150" spans="2:16">
      <c r="B150" s="160" t="str">
        <f t="shared" si="18"/>
        <v/>
      </c>
      <c r="C150" s="472">
        <f>IF(D93="","-",+C149+1)</f>
        <v>2066</v>
      </c>
      <c r="D150" s="347">
        <f>IF(F149+SUM(E$99:E149)=D$92,F149,D$92-SUM(E$99:E149))</f>
        <v>0</v>
      </c>
      <c r="E150" s="484">
        <f t="shared" si="20"/>
        <v>0</v>
      </c>
      <c r="F150" s="485">
        <f t="shared" si="21"/>
        <v>0</v>
      </c>
      <c r="G150" s="485">
        <f t="shared" si="22"/>
        <v>0</v>
      </c>
      <c r="H150" s="486">
        <f t="shared" si="23"/>
        <v>0</v>
      </c>
      <c r="I150" s="542">
        <f t="shared" si="24"/>
        <v>0</v>
      </c>
      <c r="J150" s="478">
        <f t="shared" si="19"/>
        <v>0</v>
      </c>
      <c r="K150" s="478"/>
      <c r="L150" s="487"/>
      <c r="M150" s="478">
        <f t="shared" si="25"/>
        <v>0</v>
      </c>
      <c r="N150" s="487"/>
      <c r="O150" s="478">
        <f t="shared" si="26"/>
        <v>0</v>
      </c>
      <c r="P150" s="478">
        <f t="shared" si="27"/>
        <v>0</v>
      </c>
    </row>
    <row r="151" spans="2:16">
      <c r="B151" s="160" t="str">
        <f t="shared" si="18"/>
        <v/>
      </c>
      <c r="C151" s="472">
        <f>IF(D93="","-",+C150+1)</f>
        <v>2067</v>
      </c>
      <c r="D151" s="347">
        <f>IF(F150+SUM(E$99:E150)=D$92,F150,D$92-SUM(E$99:E150))</f>
        <v>0</v>
      </c>
      <c r="E151" s="484">
        <f t="shared" si="20"/>
        <v>0</v>
      </c>
      <c r="F151" s="485">
        <f t="shared" si="21"/>
        <v>0</v>
      </c>
      <c r="G151" s="485">
        <f t="shared" si="22"/>
        <v>0</v>
      </c>
      <c r="H151" s="486">
        <f t="shared" si="23"/>
        <v>0</v>
      </c>
      <c r="I151" s="542">
        <f t="shared" si="24"/>
        <v>0</v>
      </c>
      <c r="J151" s="478">
        <f t="shared" si="19"/>
        <v>0</v>
      </c>
      <c r="K151" s="478"/>
      <c r="L151" s="487"/>
      <c r="M151" s="478">
        <f t="shared" si="25"/>
        <v>0</v>
      </c>
      <c r="N151" s="487"/>
      <c r="O151" s="478">
        <f t="shared" si="26"/>
        <v>0</v>
      </c>
      <c r="P151" s="478">
        <f t="shared" si="27"/>
        <v>0</v>
      </c>
    </row>
    <row r="152" spans="2:16">
      <c r="B152" s="160" t="str">
        <f t="shared" si="18"/>
        <v/>
      </c>
      <c r="C152" s="472">
        <f>IF(D93="","-",+C151+1)</f>
        <v>2068</v>
      </c>
      <c r="D152" s="347">
        <f>IF(F151+SUM(E$99:E151)=D$92,F151,D$92-SUM(E$99:E151))</f>
        <v>0</v>
      </c>
      <c r="E152" s="484">
        <f t="shared" si="20"/>
        <v>0</v>
      </c>
      <c r="F152" s="485">
        <f t="shared" si="21"/>
        <v>0</v>
      </c>
      <c r="G152" s="485">
        <f t="shared" si="22"/>
        <v>0</v>
      </c>
      <c r="H152" s="486">
        <f t="shared" si="23"/>
        <v>0</v>
      </c>
      <c r="I152" s="542">
        <f t="shared" si="24"/>
        <v>0</v>
      </c>
      <c r="J152" s="478">
        <f t="shared" si="19"/>
        <v>0</v>
      </c>
      <c r="K152" s="478"/>
      <c r="L152" s="487"/>
      <c r="M152" s="478">
        <f t="shared" si="25"/>
        <v>0</v>
      </c>
      <c r="N152" s="487"/>
      <c r="O152" s="478">
        <f t="shared" si="26"/>
        <v>0</v>
      </c>
      <c r="P152" s="478">
        <f t="shared" si="27"/>
        <v>0</v>
      </c>
    </row>
    <row r="153" spans="2:16">
      <c r="B153" s="160" t="str">
        <f t="shared" si="18"/>
        <v/>
      </c>
      <c r="C153" s="472">
        <f>IF(D93="","-",+C152+1)</f>
        <v>2069</v>
      </c>
      <c r="D153" s="347">
        <f>IF(F152+SUM(E$99:E152)=D$92,F152,D$92-SUM(E$99:E152))</f>
        <v>0</v>
      </c>
      <c r="E153" s="484">
        <f t="shared" si="20"/>
        <v>0</v>
      </c>
      <c r="F153" s="485">
        <f t="shared" si="21"/>
        <v>0</v>
      </c>
      <c r="G153" s="485">
        <f t="shared" si="22"/>
        <v>0</v>
      </c>
      <c r="H153" s="486">
        <f t="shared" si="23"/>
        <v>0</v>
      </c>
      <c r="I153" s="542">
        <f t="shared" si="24"/>
        <v>0</v>
      </c>
      <c r="J153" s="478">
        <f t="shared" si="19"/>
        <v>0</v>
      </c>
      <c r="K153" s="478"/>
      <c r="L153" s="487"/>
      <c r="M153" s="478">
        <f t="shared" si="25"/>
        <v>0</v>
      </c>
      <c r="N153" s="487"/>
      <c r="O153" s="478">
        <f t="shared" si="26"/>
        <v>0</v>
      </c>
      <c r="P153" s="478">
        <f t="shared" si="27"/>
        <v>0</v>
      </c>
    </row>
    <row r="154" spans="2:16" ht="13.5" thickBot="1">
      <c r="B154" s="160" t="str">
        <f t="shared" si="18"/>
        <v/>
      </c>
      <c r="C154" s="489">
        <f>IF(D93="","-",+C153+1)</f>
        <v>2070</v>
      </c>
      <c r="D154" s="576">
        <f>IF(F153+SUM(E$99:E153)=D$92,F153,D$92-SUM(E$99:E153))</f>
        <v>0</v>
      </c>
      <c r="E154" s="491">
        <f t="shared" si="20"/>
        <v>0</v>
      </c>
      <c r="F154" s="490">
        <f t="shared" si="21"/>
        <v>0</v>
      </c>
      <c r="G154" s="490">
        <f t="shared" si="22"/>
        <v>0</v>
      </c>
      <c r="H154" s="492">
        <f t="shared" ref="H154" si="28">+J$94*G154+E154</f>
        <v>0</v>
      </c>
      <c r="I154" s="545">
        <f t="shared" ref="I154" si="29">+J$95*G154+E154</f>
        <v>0</v>
      </c>
      <c r="J154" s="495">
        <f t="shared" si="19"/>
        <v>0</v>
      </c>
      <c r="K154" s="478"/>
      <c r="L154" s="494"/>
      <c r="M154" s="495">
        <f t="shared" si="25"/>
        <v>0</v>
      </c>
      <c r="N154" s="494"/>
      <c r="O154" s="495">
        <f t="shared" si="26"/>
        <v>0</v>
      </c>
      <c r="P154" s="495">
        <f t="shared" si="27"/>
        <v>0</v>
      </c>
    </row>
    <row r="155" spans="2:16">
      <c r="C155" s="347" t="s">
        <v>77</v>
      </c>
      <c r="D155" s="348"/>
      <c r="E155" s="348">
        <f>SUM(E99:E154)</f>
        <v>1692023</v>
      </c>
      <c r="F155" s="348"/>
      <c r="G155" s="348"/>
      <c r="H155" s="348">
        <f>SUM(H99:H154)</f>
        <v>5822561.3421435049</v>
      </c>
      <c r="I155" s="348">
        <f>SUM(I99:I154)</f>
        <v>5822561.3421435049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27" priority="1" stopIfTrue="1" operator="equal">
      <formula>$I$10</formula>
    </cfRule>
  </conditionalFormatting>
  <conditionalFormatting sqref="C99:C154">
    <cfRule type="cellIs" dxfId="2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67">
    <tabColor theme="9" tint="-0.249977111117893"/>
  </sheetPr>
  <dimension ref="A1:P162"/>
  <sheetViews>
    <sheetView zoomScaleNormal="100" zoomScaleSheetLayoutView="80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18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195063.32209302325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195063.32209302325</v>
      </c>
      <c r="O6" s="233"/>
      <c r="P6" s="233"/>
    </row>
    <row r="7" spans="1:16" ht="13.5" thickBot="1">
      <c r="C7" s="431" t="s">
        <v>46</v>
      </c>
      <c r="D7" s="599" t="s">
        <v>266</v>
      </c>
      <c r="E7" s="600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610" t="s">
        <v>269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273</v>
      </c>
      <c r="E9" s="577" t="s">
        <v>262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1725646.85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2014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4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40131.322093023256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2014</v>
      </c>
      <c r="D17" s="578">
        <v>1725646.85</v>
      </c>
      <c r="E17" s="601">
        <v>22123.677564102563</v>
      </c>
      <c r="F17" s="578">
        <v>1703523.1724358976</v>
      </c>
      <c r="G17" s="601">
        <v>256628.57821434946</v>
      </c>
      <c r="H17" s="602">
        <v>256628.57821434946</v>
      </c>
      <c r="I17" s="475">
        <v>0</v>
      </c>
      <c r="J17" s="475"/>
      <c r="K17" s="476">
        <f t="shared" ref="K17:K22" si="0">G17</f>
        <v>256628.57821434946</v>
      </c>
      <c r="L17" s="603">
        <f t="shared" ref="L17:L22" si="1">IF(K17&lt;&gt;0,+G17-K17,0)</f>
        <v>0</v>
      </c>
      <c r="M17" s="476">
        <f t="shared" ref="M17:M22" si="2">H17</f>
        <v>256628.57821434946</v>
      </c>
      <c r="N17" s="478">
        <f>IF(M17&lt;&gt;0,+H17-M17,0)</f>
        <v>0</v>
      </c>
      <c r="O17" s="475">
        <f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2015</v>
      </c>
      <c r="D18" s="578">
        <v>1703523.1724358976</v>
      </c>
      <c r="E18" s="579">
        <v>33185.516346153847</v>
      </c>
      <c r="F18" s="578">
        <v>1670337.6560897438</v>
      </c>
      <c r="G18" s="579">
        <v>263477.7363505594</v>
      </c>
      <c r="H18" s="602">
        <v>263477.7363505594</v>
      </c>
      <c r="I18" s="475">
        <v>0</v>
      </c>
      <c r="J18" s="475"/>
      <c r="K18" s="476">
        <f t="shared" si="0"/>
        <v>263477.7363505594</v>
      </c>
      <c r="L18" s="603">
        <f t="shared" si="1"/>
        <v>0</v>
      </c>
      <c r="M18" s="476">
        <f t="shared" si="2"/>
        <v>263477.7363505594</v>
      </c>
      <c r="N18" s="478">
        <f>IF(M18&lt;&gt;0,+H18-M18,0)</f>
        <v>0</v>
      </c>
      <c r="O18" s="475">
        <f>+N18-L18</f>
        <v>0</v>
      </c>
      <c r="P18" s="243"/>
    </row>
    <row r="19" spans="2:16">
      <c r="B19" s="160" t="str">
        <f>IF(D19=F18,"","IU")</f>
        <v/>
      </c>
      <c r="C19" s="472">
        <f>IF(D11="","-",+C18+1)</f>
        <v>2016</v>
      </c>
      <c r="D19" s="578">
        <v>1670337.6560897438</v>
      </c>
      <c r="E19" s="579">
        <v>33185.516346153847</v>
      </c>
      <c r="F19" s="578">
        <v>1637152.13974359</v>
      </c>
      <c r="G19" s="579">
        <v>247913.51634615386</v>
      </c>
      <c r="H19" s="602">
        <v>247913.51634615386</v>
      </c>
      <c r="I19" s="475">
        <f>H19-G19</f>
        <v>0</v>
      </c>
      <c r="J19" s="475"/>
      <c r="K19" s="476">
        <f t="shared" si="0"/>
        <v>247913.51634615386</v>
      </c>
      <c r="L19" s="603">
        <f t="shared" si="1"/>
        <v>0</v>
      </c>
      <c r="M19" s="476">
        <f t="shared" si="2"/>
        <v>247913.51634615386</v>
      </c>
      <c r="N19" s="478">
        <f>IF(M19&lt;&gt;0,+H19-M19,0)</f>
        <v>0</v>
      </c>
      <c r="O19" s="475">
        <f>+N19-L19</f>
        <v>0</v>
      </c>
      <c r="P19" s="243"/>
    </row>
    <row r="20" spans="2:16">
      <c r="B20" s="160" t="str">
        <f t="shared" ref="B20:B72" si="3">IF(D20=F19,"","IU")</f>
        <v>IU</v>
      </c>
      <c r="C20" s="472">
        <f>IF(D11="","-",+C19+1)</f>
        <v>2017</v>
      </c>
      <c r="D20" s="578">
        <v>1637152</v>
      </c>
      <c r="E20" s="579">
        <v>37514</v>
      </c>
      <c r="F20" s="578">
        <v>1599638</v>
      </c>
      <c r="G20" s="579">
        <v>241085</v>
      </c>
      <c r="H20" s="602">
        <v>241085</v>
      </c>
      <c r="I20" s="475">
        <f t="shared" ref="I20:I72" si="4">H20-G20</f>
        <v>0</v>
      </c>
      <c r="J20" s="475"/>
      <c r="K20" s="476">
        <f t="shared" si="0"/>
        <v>241085</v>
      </c>
      <c r="L20" s="603">
        <f t="shared" si="1"/>
        <v>0</v>
      </c>
      <c r="M20" s="476">
        <f t="shared" si="2"/>
        <v>241085</v>
      </c>
      <c r="N20" s="478">
        <f>IF(M20&lt;&gt;0,+H20-M20,0)</f>
        <v>0</v>
      </c>
      <c r="O20" s="475">
        <f>+N20-L20</f>
        <v>0</v>
      </c>
      <c r="P20" s="243"/>
    </row>
    <row r="21" spans="2:16">
      <c r="B21" s="160" t="str">
        <f t="shared" si="3"/>
        <v>IU</v>
      </c>
      <c r="C21" s="472">
        <f>IF(D11="","-",+C20+1)</f>
        <v>2018</v>
      </c>
      <c r="D21" s="578">
        <v>1599638.0777870682</v>
      </c>
      <c r="E21" s="579">
        <v>38347.707777777781</v>
      </c>
      <c r="F21" s="578">
        <v>1561290.3700092905</v>
      </c>
      <c r="G21" s="579">
        <v>249645.70777777777</v>
      </c>
      <c r="H21" s="602">
        <v>249645.70777777777</v>
      </c>
      <c r="I21" s="475">
        <f t="shared" si="4"/>
        <v>0</v>
      </c>
      <c r="J21" s="475"/>
      <c r="K21" s="476">
        <f t="shared" si="0"/>
        <v>249645.70777777777</v>
      </c>
      <c r="L21" s="603">
        <f t="shared" si="1"/>
        <v>0</v>
      </c>
      <c r="M21" s="476">
        <f t="shared" si="2"/>
        <v>249645.70777777777</v>
      </c>
      <c r="N21" s="478">
        <f>IF(M21&lt;&gt;0,+H21-M21,0)</f>
        <v>0</v>
      </c>
      <c r="O21" s="475">
        <f>+N21-L21</f>
        <v>0</v>
      </c>
      <c r="P21" s="243"/>
    </row>
    <row r="22" spans="2:16">
      <c r="B22" s="160" t="str">
        <f t="shared" si="3"/>
        <v>IU</v>
      </c>
      <c r="C22" s="472">
        <f>IF(D11="","-",+C21+1)</f>
        <v>2019</v>
      </c>
      <c r="D22" s="578">
        <v>1561290.4319658121</v>
      </c>
      <c r="E22" s="579">
        <v>38347.707777777781</v>
      </c>
      <c r="F22" s="578">
        <v>1522942.7241880344</v>
      </c>
      <c r="G22" s="579">
        <v>244455.70777777777</v>
      </c>
      <c r="H22" s="602">
        <v>244455.70777777777</v>
      </c>
      <c r="I22" s="475">
        <f t="shared" si="4"/>
        <v>0</v>
      </c>
      <c r="J22" s="475"/>
      <c r="K22" s="476">
        <f t="shared" si="0"/>
        <v>244455.70777777777</v>
      </c>
      <c r="L22" s="603">
        <f t="shared" si="1"/>
        <v>0</v>
      </c>
      <c r="M22" s="476">
        <f t="shared" si="2"/>
        <v>244455.70777777777</v>
      </c>
      <c r="N22" s="478">
        <f t="shared" ref="N22:N72" si="5">IF(M22&lt;&gt;0,+H22-M22,0)</f>
        <v>0</v>
      </c>
      <c r="O22" s="478">
        <f t="shared" ref="O22:O72" si="6">+N22-L22</f>
        <v>0</v>
      </c>
      <c r="P22" s="243"/>
    </row>
    <row r="23" spans="2:16">
      <c r="B23" s="160" t="str">
        <f t="shared" si="3"/>
        <v/>
      </c>
      <c r="C23" s="472">
        <f>IF(D11="","-",+C22+1)</f>
        <v>2020</v>
      </c>
      <c r="D23" s="578">
        <v>1522942.7241880344</v>
      </c>
      <c r="E23" s="579">
        <v>41086.829761904766</v>
      </c>
      <c r="F23" s="578">
        <v>1481855.8944261298</v>
      </c>
      <c r="G23" s="579">
        <v>203353.13199328393</v>
      </c>
      <c r="H23" s="602">
        <v>203353.13199328393</v>
      </c>
      <c r="I23" s="475">
        <f t="shared" si="4"/>
        <v>0</v>
      </c>
      <c r="J23" s="475"/>
      <c r="K23" s="476">
        <f t="shared" ref="K23" si="7">G23</f>
        <v>203353.13199328393</v>
      </c>
      <c r="L23" s="603">
        <f t="shared" ref="L23" si="8">IF(K23&lt;&gt;0,+G23-K23,0)</f>
        <v>0</v>
      </c>
      <c r="M23" s="476">
        <f t="shared" ref="M23" si="9">H23</f>
        <v>203353.13199328393</v>
      </c>
      <c r="N23" s="478">
        <f t="shared" si="5"/>
        <v>0</v>
      </c>
      <c r="O23" s="478">
        <f t="shared" si="6"/>
        <v>0</v>
      </c>
      <c r="P23" s="243"/>
    </row>
    <row r="24" spans="2:16">
      <c r="B24" s="160" t="str">
        <f t="shared" si="3"/>
        <v>IU</v>
      </c>
      <c r="C24" s="472">
        <f>IF(D11="","-",+C23+1)</f>
        <v>2021</v>
      </c>
      <c r="D24" s="578">
        <v>1477062.4309539073</v>
      </c>
      <c r="E24" s="579">
        <v>40131.322093023256</v>
      </c>
      <c r="F24" s="578">
        <v>1436931.1088608841</v>
      </c>
      <c r="G24" s="579">
        <v>195063.32209302325</v>
      </c>
      <c r="H24" s="602">
        <v>195063.32209302325</v>
      </c>
      <c r="I24" s="475">
        <f t="shared" si="4"/>
        <v>0</v>
      </c>
      <c r="J24" s="475"/>
      <c r="K24" s="476">
        <f t="shared" ref="K24" si="10">G24</f>
        <v>195063.32209302325</v>
      </c>
      <c r="L24" s="603">
        <f t="shared" ref="L24" si="11">IF(K24&lt;&gt;0,+G24-K24,0)</f>
        <v>0</v>
      </c>
      <c r="M24" s="476">
        <f t="shared" ref="M24" si="12">H24</f>
        <v>195063.32209302325</v>
      </c>
      <c r="N24" s="478">
        <f t="shared" si="5"/>
        <v>0</v>
      </c>
      <c r="O24" s="478">
        <f t="shared" si="6"/>
        <v>0</v>
      </c>
      <c r="P24" s="243"/>
    </row>
    <row r="25" spans="2:16">
      <c r="B25" s="160" t="str">
        <f t="shared" si="3"/>
        <v>IU</v>
      </c>
      <c r="C25" s="472">
        <f>IF(D11="","-",+C24+1)</f>
        <v>2022</v>
      </c>
      <c r="D25" s="485">
        <f>IF(F24+SUM(E$17:E24)=D$10,F24,D$10-SUM(E$17:E24))</f>
        <v>1441724.5723331063</v>
      </c>
      <c r="E25" s="484">
        <f t="shared" ref="E25:E72" si="13">IF(+$I$14&lt;F24,$I$14,D25)</f>
        <v>40131.322093023256</v>
      </c>
      <c r="F25" s="485">
        <f t="shared" ref="F25:F72" si="14">+D25-E25</f>
        <v>1401593.2502400831</v>
      </c>
      <c r="G25" s="486">
        <f t="shared" ref="G25:G72" si="15">(D25+F25)/2*I$12+E25</f>
        <v>203702.18641085774</v>
      </c>
      <c r="H25" s="455">
        <f t="shared" ref="H25:H72" si="16">+(D25+F25)/2*I$13+E25</f>
        <v>203702.18641085774</v>
      </c>
      <c r="I25" s="475">
        <f t="shared" si="4"/>
        <v>0</v>
      </c>
      <c r="J25" s="475"/>
      <c r="K25" s="487"/>
      <c r="L25" s="478">
        <f t="shared" ref="L25:L72" si="17">IF(K25&lt;&gt;0,+G25-K25,0)</f>
        <v>0</v>
      </c>
      <c r="M25" s="487"/>
      <c r="N25" s="478">
        <f t="shared" si="5"/>
        <v>0</v>
      </c>
      <c r="O25" s="478">
        <f t="shared" si="6"/>
        <v>0</v>
      </c>
      <c r="P25" s="243"/>
    </row>
    <row r="26" spans="2:16">
      <c r="B26" s="160" t="str">
        <f t="shared" si="3"/>
        <v/>
      </c>
      <c r="C26" s="472">
        <f>IF(D11="","-",+C25+1)</f>
        <v>2023</v>
      </c>
      <c r="D26" s="485">
        <f>IF(F25+SUM(E$17:E25)=D$10,F25,D$10-SUM(E$17:E25))</f>
        <v>1401593.2502400831</v>
      </c>
      <c r="E26" s="484">
        <f t="shared" si="13"/>
        <v>40131.322093023256</v>
      </c>
      <c r="F26" s="485">
        <f t="shared" si="14"/>
        <v>1361461.9281470599</v>
      </c>
      <c r="G26" s="486">
        <f t="shared" si="15"/>
        <v>199084.82356182346</v>
      </c>
      <c r="H26" s="455">
        <f t="shared" si="16"/>
        <v>199084.82356182346</v>
      </c>
      <c r="I26" s="475">
        <f t="shared" si="4"/>
        <v>0</v>
      </c>
      <c r="J26" s="475"/>
      <c r="K26" s="487"/>
      <c r="L26" s="478">
        <f t="shared" si="17"/>
        <v>0</v>
      </c>
      <c r="M26" s="487"/>
      <c r="N26" s="478">
        <f t="shared" si="5"/>
        <v>0</v>
      </c>
      <c r="O26" s="478">
        <f t="shared" si="6"/>
        <v>0</v>
      </c>
      <c r="P26" s="243"/>
    </row>
    <row r="27" spans="2:16">
      <c r="B27" s="160" t="str">
        <f t="shared" si="3"/>
        <v/>
      </c>
      <c r="C27" s="472">
        <f>IF(D11="","-",+C26+1)</f>
        <v>2024</v>
      </c>
      <c r="D27" s="485">
        <f>IF(F26+SUM(E$17:E26)=D$10,F26,D$10-SUM(E$17:E26))</f>
        <v>1361461.9281470599</v>
      </c>
      <c r="E27" s="484">
        <f t="shared" si="13"/>
        <v>40131.322093023256</v>
      </c>
      <c r="F27" s="485">
        <f t="shared" si="14"/>
        <v>1321330.6060540366</v>
      </c>
      <c r="G27" s="486">
        <f t="shared" si="15"/>
        <v>194467.46071278924</v>
      </c>
      <c r="H27" s="455">
        <f t="shared" si="16"/>
        <v>194467.46071278924</v>
      </c>
      <c r="I27" s="475">
        <f t="shared" si="4"/>
        <v>0</v>
      </c>
      <c r="J27" s="475"/>
      <c r="K27" s="487"/>
      <c r="L27" s="478">
        <f t="shared" si="17"/>
        <v>0</v>
      </c>
      <c r="M27" s="487"/>
      <c r="N27" s="478">
        <f t="shared" si="5"/>
        <v>0</v>
      </c>
      <c r="O27" s="478">
        <f t="shared" si="6"/>
        <v>0</v>
      </c>
      <c r="P27" s="243"/>
    </row>
    <row r="28" spans="2:16">
      <c r="B28" s="160" t="str">
        <f t="shared" si="3"/>
        <v/>
      </c>
      <c r="C28" s="472">
        <f>IF(D11="","-",+C27+1)</f>
        <v>2025</v>
      </c>
      <c r="D28" s="485">
        <f>IF(F27+SUM(E$17:E27)=D$10,F27,D$10-SUM(E$17:E27))</f>
        <v>1321330.6060540366</v>
      </c>
      <c r="E28" s="484">
        <f t="shared" si="13"/>
        <v>40131.322093023256</v>
      </c>
      <c r="F28" s="485">
        <f t="shared" si="14"/>
        <v>1281199.2839610134</v>
      </c>
      <c r="G28" s="486">
        <f t="shared" si="15"/>
        <v>189850.09786375496</v>
      </c>
      <c r="H28" s="455">
        <f t="shared" si="16"/>
        <v>189850.09786375496</v>
      </c>
      <c r="I28" s="475">
        <f t="shared" si="4"/>
        <v>0</v>
      </c>
      <c r="J28" s="475"/>
      <c r="K28" s="487"/>
      <c r="L28" s="478">
        <f t="shared" si="17"/>
        <v>0</v>
      </c>
      <c r="M28" s="487"/>
      <c r="N28" s="478">
        <f t="shared" si="5"/>
        <v>0</v>
      </c>
      <c r="O28" s="478">
        <f t="shared" si="6"/>
        <v>0</v>
      </c>
      <c r="P28" s="243"/>
    </row>
    <row r="29" spans="2:16">
      <c r="B29" s="160" t="str">
        <f t="shared" si="3"/>
        <v/>
      </c>
      <c r="C29" s="472">
        <f>IF(D11="","-",+C28+1)</f>
        <v>2026</v>
      </c>
      <c r="D29" s="485">
        <f>IF(F28+SUM(E$17:E28)=D$10,F28,D$10-SUM(E$17:E28))</f>
        <v>1281199.2839610134</v>
      </c>
      <c r="E29" s="484">
        <f t="shared" si="13"/>
        <v>40131.322093023256</v>
      </c>
      <c r="F29" s="485">
        <f t="shared" si="14"/>
        <v>1241067.9618679902</v>
      </c>
      <c r="G29" s="486">
        <f t="shared" si="15"/>
        <v>185232.7350147207</v>
      </c>
      <c r="H29" s="455">
        <f t="shared" si="16"/>
        <v>185232.7350147207</v>
      </c>
      <c r="I29" s="475">
        <f t="shared" si="4"/>
        <v>0</v>
      </c>
      <c r="J29" s="475"/>
      <c r="K29" s="487"/>
      <c r="L29" s="478">
        <f t="shared" si="17"/>
        <v>0</v>
      </c>
      <c r="M29" s="487"/>
      <c r="N29" s="478">
        <f t="shared" si="5"/>
        <v>0</v>
      </c>
      <c r="O29" s="478">
        <f t="shared" si="6"/>
        <v>0</v>
      </c>
      <c r="P29" s="243"/>
    </row>
    <row r="30" spans="2:16">
      <c r="B30" s="160" t="str">
        <f t="shared" si="3"/>
        <v/>
      </c>
      <c r="C30" s="472">
        <f>IF(D11="","-",+C29+1)</f>
        <v>2027</v>
      </c>
      <c r="D30" s="485">
        <f>IF(F29+SUM(E$17:E29)=D$10,F29,D$10-SUM(E$17:E29))</f>
        <v>1241067.9618679902</v>
      </c>
      <c r="E30" s="484">
        <f t="shared" si="13"/>
        <v>40131.322093023256</v>
      </c>
      <c r="F30" s="485">
        <f t="shared" si="14"/>
        <v>1200936.639774967</v>
      </c>
      <c r="G30" s="486">
        <f t="shared" si="15"/>
        <v>180615.37216568642</v>
      </c>
      <c r="H30" s="455">
        <f t="shared" si="16"/>
        <v>180615.37216568642</v>
      </c>
      <c r="I30" s="475">
        <f t="shared" si="4"/>
        <v>0</v>
      </c>
      <c r="J30" s="475"/>
      <c r="K30" s="487"/>
      <c r="L30" s="478">
        <f t="shared" si="17"/>
        <v>0</v>
      </c>
      <c r="M30" s="487"/>
      <c r="N30" s="478">
        <f t="shared" si="5"/>
        <v>0</v>
      </c>
      <c r="O30" s="478">
        <f t="shared" si="6"/>
        <v>0</v>
      </c>
      <c r="P30" s="243"/>
    </row>
    <row r="31" spans="2:16">
      <c r="B31" s="160" t="str">
        <f t="shared" si="3"/>
        <v/>
      </c>
      <c r="C31" s="472">
        <f>IF(D11="","-",+C30+1)</f>
        <v>2028</v>
      </c>
      <c r="D31" s="485">
        <f>IF(F30+SUM(E$17:E30)=D$10,F30,D$10-SUM(E$17:E30))</f>
        <v>1200936.639774967</v>
      </c>
      <c r="E31" s="484">
        <f t="shared" si="13"/>
        <v>40131.322093023256</v>
      </c>
      <c r="F31" s="485">
        <f t="shared" si="14"/>
        <v>1160805.3176819438</v>
      </c>
      <c r="G31" s="486">
        <f t="shared" si="15"/>
        <v>175998.0093166522</v>
      </c>
      <c r="H31" s="455">
        <f t="shared" si="16"/>
        <v>175998.0093166522</v>
      </c>
      <c r="I31" s="475">
        <f t="shared" si="4"/>
        <v>0</v>
      </c>
      <c r="J31" s="475"/>
      <c r="K31" s="487"/>
      <c r="L31" s="478">
        <f t="shared" si="17"/>
        <v>0</v>
      </c>
      <c r="M31" s="487"/>
      <c r="N31" s="478">
        <f t="shared" si="5"/>
        <v>0</v>
      </c>
      <c r="O31" s="478">
        <f t="shared" si="6"/>
        <v>0</v>
      </c>
      <c r="P31" s="243"/>
    </row>
    <row r="32" spans="2:16">
      <c r="B32" s="160" t="str">
        <f t="shared" si="3"/>
        <v/>
      </c>
      <c r="C32" s="472">
        <f>IF(D11="","-",+C31+1)</f>
        <v>2029</v>
      </c>
      <c r="D32" s="485">
        <f>IF(F31+SUM(E$17:E31)=D$10,F31,D$10-SUM(E$17:E31))</f>
        <v>1160805.3176819438</v>
      </c>
      <c r="E32" s="484">
        <f t="shared" si="13"/>
        <v>40131.322093023256</v>
      </c>
      <c r="F32" s="485">
        <f t="shared" si="14"/>
        <v>1120673.9955889205</v>
      </c>
      <c r="G32" s="486">
        <f t="shared" si="15"/>
        <v>171380.64646761792</v>
      </c>
      <c r="H32" s="455">
        <f t="shared" si="16"/>
        <v>171380.64646761792</v>
      </c>
      <c r="I32" s="475">
        <f t="shared" si="4"/>
        <v>0</v>
      </c>
      <c r="J32" s="475"/>
      <c r="K32" s="487"/>
      <c r="L32" s="478">
        <f t="shared" si="17"/>
        <v>0</v>
      </c>
      <c r="M32" s="487"/>
      <c r="N32" s="478">
        <f t="shared" si="5"/>
        <v>0</v>
      </c>
      <c r="O32" s="478">
        <f t="shared" si="6"/>
        <v>0</v>
      </c>
      <c r="P32" s="243"/>
    </row>
    <row r="33" spans="2:16">
      <c r="B33" s="160" t="str">
        <f t="shared" si="3"/>
        <v/>
      </c>
      <c r="C33" s="472">
        <f>IF(D11="","-",+C32+1)</f>
        <v>2030</v>
      </c>
      <c r="D33" s="485">
        <f>IF(F32+SUM(E$17:E32)=D$10,F32,D$10-SUM(E$17:E32))</f>
        <v>1120673.9955889205</v>
      </c>
      <c r="E33" s="484">
        <f t="shared" si="13"/>
        <v>40131.322093023256</v>
      </c>
      <c r="F33" s="485">
        <f t="shared" si="14"/>
        <v>1080542.6734958973</v>
      </c>
      <c r="G33" s="486">
        <f t="shared" si="15"/>
        <v>166763.28361858369</v>
      </c>
      <c r="H33" s="455">
        <f t="shared" si="16"/>
        <v>166763.28361858369</v>
      </c>
      <c r="I33" s="475">
        <f t="shared" si="4"/>
        <v>0</v>
      </c>
      <c r="J33" s="475"/>
      <c r="K33" s="487"/>
      <c r="L33" s="478">
        <f t="shared" si="17"/>
        <v>0</v>
      </c>
      <c r="M33" s="487"/>
      <c r="N33" s="478">
        <f t="shared" si="5"/>
        <v>0</v>
      </c>
      <c r="O33" s="478">
        <f t="shared" si="6"/>
        <v>0</v>
      </c>
      <c r="P33" s="243"/>
    </row>
    <row r="34" spans="2:16">
      <c r="B34" s="160" t="str">
        <f t="shared" si="3"/>
        <v/>
      </c>
      <c r="C34" s="472">
        <f>IF(D11="","-",+C33+1)</f>
        <v>2031</v>
      </c>
      <c r="D34" s="485">
        <f>IF(F33+SUM(E$17:E33)=D$10,F33,D$10-SUM(E$17:E33))</f>
        <v>1080542.6734958973</v>
      </c>
      <c r="E34" s="484">
        <f t="shared" si="13"/>
        <v>40131.322093023256</v>
      </c>
      <c r="F34" s="485">
        <f t="shared" si="14"/>
        <v>1040411.3514028741</v>
      </c>
      <c r="G34" s="486">
        <f t="shared" si="15"/>
        <v>162145.92076954941</v>
      </c>
      <c r="H34" s="455">
        <f t="shared" si="16"/>
        <v>162145.92076954941</v>
      </c>
      <c r="I34" s="475">
        <f t="shared" si="4"/>
        <v>0</v>
      </c>
      <c r="J34" s="475"/>
      <c r="K34" s="487"/>
      <c r="L34" s="478">
        <f t="shared" si="17"/>
        <v>0</v>
      </c>
      <c r="M34" s="487"/>
      <c r="N34" s="478">
        <f t="shared" si="5"/>
        <v>0</v>
      </c>
      <c r="O34" s="478">
        <f t="shared" si="6"/>
        <v>0</v>
      </c>
      <c r="P34" s="243"/>
    </row>
    <row r="35" spans="2:16">
      <c r="B35" s="160" t="str">
        <f t="shared" si="3"/>
        <v/>
      </c>
      <c r="C35" s="472">
        <f>IF(D11="","-",+C34+1)</f>
        <v>2032</v>
      </c>
      <c r="D35" s="485">
        <f>IF(F34+SUM(E$17:E34)=D$10,F34,D$10-SUM(E$17:E34))</f>
        <v>1040411.3514028741</v>
      </c>
      <c r="E35" s="484">
        <f t="shared" si="13"/>
        <v>40131.322093023256</v>
      </c>
      <c r="F35" s="485">
        <f t="shared" si="14"/>
        <v>1000280.0293098509</v>
      </c>
      <c r="G35" s="486">
        <f t="shared" si="15"/>
        <v>157528.55792051516</v>
      </c>
      <c r="H35" s="455">
        <f t="shared" si="16"/>
        <v>157528.55792051516</v>
      </c>
      <c r="I35" s="475">
        <f t="shared" si="4"/>
        <v>0</v>
      </c>
      <c r="J35" s="475"/>
      <c r="K35" s="487"/>
      <c r="L35" s="478">
        <f t="shared" si="17"/>
        <v>0</v>
      </c>
      <c r="M35" s="487"/>
      <c r="N35" s="478">
        <f t="shared" si="5"/>
        <v>0</v>
      </c>
      <c r="O35" s="478">
        <f t="shared" si="6"/>
        <v>0</v>
      </c>
      <c r="P35" s="243"/>
    </row>
    <row r="36" spans="2:16">
      <c r="B36" s="160" t="str">
        <f t="shared" si="3"/>
        <v/>
      </c>
      <c r="C36" s="472">
        <f>IF(D11="","-",+C35+1)</f>
        <v>2033</v>
      </c>
      <c r="D36" s="485">
        <f>IF(F35+SUM(E$17:E35)=D$10,F35,D$10-SUM(E$17:E35))</f>
        <v>1000280.0293098509</v>
      </c>
      <c r="E36" s="484">
        <f t="shared" si="13"/>
        <v>40131.322093023256</v>
      </c>
      <c r="F36" s="485">
        <f t="shared" si="14"/>
        <v>960148.70721682766</v>
      </c>
      <c r="G36" s="486">
        <f t="shared" si="15"/>
        <v>152911.19507148088</v>
      </c>
      <c r="H36" s="455">
        <f t="shared" si="16"/>
        <v>152911.19507148088</v>
      </c>
      <c r="I36" s="475">
        <f t="shared" si="4"/>
        <v>0</v>
      </c>
      <c r="J36" s="475"/>
      <c r="K36" s="487"/>
      <c r="L36" s="478">
        <f t="shared" si="17"/>
        <v>0</v>
      </c>
      <c r="M36" s="487"/>
      <c r="N36" s="478">
        <f t="shared" si="5"/>
        <v>0</v>
      </c>
      <c r="O36" s="478">
        <f t="shared" si="6"/>
        <v>0</v>
      </c>
      <c r="P36" s="243"/>
    </row>
    <row r="37" spans="2:16">
      <c r="B37" s="160" t="str">
        <f t="shared" si="3"/>
        <v/>
      </c>
      <c r="C37" s="472">
        <f>IF(D11="","-",+C36+1)</f>
        <v>2034</v>
      </c>
      <c r="D37" s="485">
        <f>IF(F36+SUM(E$17:E36)=D$10,F36,D$10-SUM(E$17:E36))</f>
        <v>960148.70721682766</v>
      </c>
      <c r="E37" s="484">
        <f t="shared" si="13"/>
        <v>40131.322093023256</v>
      </c>
      <c r="F37" s="485">
        <f t="shared" si="14"/>
        <v>920017.38512380444</v>
      </c>
      <c r="G37" s="486">
        <f t="shared" si="15"/>
        <v>148293.83222244662</v>
      </c>
      <c r="H37" s="455">
        <f t="shared" si="16"/>
        <v>148293.83222244662</v>
      </c>
      <c r="I37" s="475">
        <f t="shared" si="4"/>
        <v>0</v>
      </c>
      <c r="J37" s="475"/>
      <c r="K37" s="487"/>
      <c r="L37" s="478">
        <f t="shared" si="17"/>
        <v>0</v>
      </c>
      <c r="M37" s="487"/>
      <c r="N37" s="478">
        <f t="shared" si="5"/>
        <v>0</v>
      </c>
      <c r="O37" s="478">
        <f t="shared" si="6"/>
        <v>0</v>
      </c>
      <c r="P37" s="243"/>
    </row>
    <row r="38" spans="2:16">
      <c r="B38" s="160" t="str">
        <f t="shared" si="3"/>
        <v/>
      </c>
      <c r="C38" s="472">
        <f>IF(D11="","-",+C37+1)</f>
        <v>2035</v>
      </c>
      <c r="D38" s="485">
        <f>IF(F37+SUM(E$17:E37)=D$10,F37,D$10-SUM(E$17:E37))</f>
        <v>920017.38512380444</v>
      </c>
      <c r="E38" s="484">
        <f t="shared" si="13"/>
        <v>40131.322093023256</v>
      </c>
      <c r="F38" s="485">
        <f t="shared" si="14"/>
        <v>879886.06303078122</v>
      </c>
      <c r="G38" s="486">
        <f t="shared" si="15"/>
        <v>143676.46937341237</v>
      </c>
      <c r="H38" s="455">
        <f t="shared" si="16"/>
        <v>143676.46937341237</v>
      </c>
      <c r="I38" s="475">
        <f t="shared" si="4"/>
        <v>0</v>
      </c>
      <c r="J38" s="475"/>
      <c r="K38" s="487"/>
      <c r="L38" s="478">
        <f t="shared" si="17"/>
        <v>0</v>
      </c>
      <c r="M38" s="487"/>
      <c r="N38" s="478">
        <f t="shared" si="5"/>
        <v>0</v>
      </c>
      <c r="O38" s="478">
        <f t="shared" si="6"/>
        <v>0</v>
      </c>
      <c r="P38" s="243"/>
    </row>
    <row r="39" spans="2:16">
      <c r="B39" s="160" t="str">
        <f t="shared" si="3"/>
        <v/>
      </c>
      <c r="C39" s="472">
        <f>IF(D11="","-",+C38+1)</f>
        <v>2036</v>
      </c>
      <c r="D39" s="485">
        <f>IF(F38+SUM(E$17:E38)=D$10,F38,D$10-SUM(E$17:E38))</f>
        <v>879886.06303078122</v>
      </c>
      <c r="E39" s="484">
        <f t="shared" si="13"/>
        <v>40131.322093023256</v>
      </c>
      <c r="F39" s="485">
        <f t="shared" si="14"/>
        <v>839754.740937758</v>
      </c>
      <c r="G39" s="486">
        <f t="shared" si="15"/>
        <v>139059.10652437812</v>
      </c>
      <c r="H39" s="455">
        <f t="shared" si="16"/>
        <v>139059.10652437812</v>
      </c>
      <c r="I39" s="475">
        <f t="shared" si="4"/>
        <v>0</v>
      </c>
      <c r="J39" s="475"/>
      <c r="K39" s="487"/>
      <c r="L39" s="478">
        <f t="shared" si="17"/>
        <v>0</v>
      </c>
      <c r="M39" s="487"/>
      <c r="N39" s="478">
        <f t="shared" si="5"/>
        <v>0</v>
      </c>
      <c r="O39" s="478">
        <f t="shared" si="6"/>
        <v>0</v>
      </c>
      <c r="P39" s="243"/>
    </row>
    <row r="40" spans="2:16">
      <c r="B40" s="160" t="str">
        <f t="shared" si="3"/>
        <v/>
      </c>
      <c r="C40" s="472">
        <f>IF(D11="","-",+C39+1)</f>
        <v>2037</v>
      </c>
      <c r="D40" s="485">
        <f>IF(F39+SUM(E$17:E39)=D$10,F39,D$10-SUM(E$17:E39))</f>
        <v>839754.740937758</v>
      </c>
      <c r="E40" s="484">
        <f t="shared" si="13"/>
        <v>40131.322093023256</v>
      </c>
      <c r="F40" s="485">
        <f t="shared" si="14"/>
        <v>799623.41884473478</v>
      </c>
      <c r="G40" s="486">
        <f t="shared" si="15"/>
        <v>134441.74367534384</v>
      </c>
      <c r="H40" s="455">
        <f t="shared" si="16"/>
        <v>134441.74367534384</v>
      </c>
      <c r="I40" s="475">
        <f t="shared" si="4"/>
        <v>0</v>
      </c>
      <c r="J40" s="475"/>
      <c r="K40" s="487"/>
      <c r="L40" s="478">
        <f t="shared" si="17"/>
        <v>0</v>
      </c>
      <c r="M40" s="487"/>
      <c r="N40" s="478">
        <f t="shared" si="5"/>
        <v>0</v>
      </c>
      <c r="O40" s="478">
        <f t="shared" si="6"/>
        <v>0</v>
      </c>
      <c r="P40" s="243"/>
    </row>
    <row r="41" spans="2:16">
      <c r="B41" s="160" t="str">
        <f t="shared" si="3"/>
        <v/>
      </c>
      <c r="C41" s="472">
        <f>IF(D11="","-",+C40+1)</f>
        <v>2038</v>
      </c>
      <c r="D41" s="485">
        <f>IF(F40+SUM(E$17:E40)=D$10,F40,D$10-SUM(E$17:E40))</f>
        <v>799623.41884473478</v>
      </c>
      <c r="E41" s="484">
        <f t="shared" si="13"/>
        <v>40131.322093023256</v>
      </c>
      <c r="F41" s="485">
        <f t="shared" si="14"/>
        <v>759492.09675171156</v>
      </c>
      <c r="G41" s="486">
        <f t="shared" si="15"/>
        <v>129824.38082630959</v>
      </c>
      <c r="H41" s="455">
        <f t="shared" si="16"/>
        <v>129824.38082630959</v>
      </c>
      <c r="I41" s="475">
        <f t="shared" si="4"/>
        <v>0</v>
      </c>
      <c r="J41" s="475"/>
      <c r="K41" s="487"/>
      <c r="L41" s="478">
        <f t="shared" si="17"/>
        <v>0</v>
      </c>
      <c r="M41" s="487"/>
      <c r="N41" s="478">
        <f t="shared" si="5"/>
        <v>0</v>
      </c>
      <c r="O41" s="478">
        <f t="shared" si="6"/>
        <v>0</v>
      </c>
      <c r="P41" s="243"/>
    </row>
    <row r="42" spans="2:16">
      <c r="B42" s="160" t="str">
        <f t="shared" si="3"/>
        <v/>
      </c>
      <c r="C42" s="472">
        <f>IF(D11="","-",+C41+1)</f>
        <v>2039</v>
      </c>
      <c r="D42" s="485">
        <f>IF(F41+SUM(E$17:E41)=D$10,F41,D$10-SUM(E$17:E41))</f>
        <v>759492.09675171156</v>
      </c>
      <c r="E42" s="484">
        <f t="shared" si="13"/>
        <v>40131.322093023256</v>
      </c>
      <c r="F42" s="485">
        <f t="shared" si="14"/>
        <v>719360.77465868834</v>
      </c>
      <c r="G42" s="486">
        <f t="shared" si="15"/>
        <v>125207.01797727533</v>
      </c>
      <c r="H42" s="455">
        <f t="shared" si="16"/>
        <v>125207.01797727533</v>
      </c>
      <c r="I42" s="475">
        <f t="shared" si="4"/>
        <v>0</v>
      </c>
      <c r="J42" s="475"/>
      <c r="K42" s="487"/>
      <c r="L42" s="478">
        <f t="shared" si="17"/>
        <v>0</v>
      </c>
      <c r="M42" s="487"/>
      <c r="N42" s="478">
        <f t="shared" si="5"/>
        <v>0</v>
      </c>
      <c r="O42" s="478">
        <f t="shared" si="6"/>
        <v>0</v>
      </c>
      <c r="P42" s="243"/>
    </row>
    <row r="43" spans="2:16">
      <c r="B43" s="160" t="str">
        <f t="shared" si="3"/>
        <v/>
      </c>
      <c r="C43" s="472">
        <f>IF(D11="","-",+C42+1)</f>
        <v>2040</v>
      </c>
      <c r="D43" s="485">
        <f>IF(F42+SUM(E$17:E42)=D$10,F42,D$10-SUM(E$17:E42))</f>
        <v>719360.77465868834</v>
      </c>
      <c r="E43" s="484">
        <f t="shared" si="13"/>
        <v>40131.322093023256</v>
      </c>
      <c r="F43" s="485">
        <f t="shared" si="14"/>
        <v>679229.45256566512</v>
      </c>
      <c r="G43" s="486">
        <f t="shared" si="15"/>
        <v>120589.65512824108</v>
      </c>
      <c r="H43" s="455">
        <f t="shared" si="16"/>
        <v>120589.65512824108</v>
      </c>
      <c r="I43" s="475">
        <f t="shared" si="4"/>
        <v>0</v>
      </c>
      <c r="J43" s="475"/>
      <c r="K43" s="487"/>
      <c r="L43" s="478">
        <f t="shared" si="17"/>
        <v>0</v>
      </c>
      <c r="M43" s="487"/>
      <c r="N43" s="478">
        <f t="shared" si="5"/>
        <v>0</v>
      </c>
      <c r="O43" s="478">
        <f t="shared" si="6"/>
        <v>0</v>
      </c>
      <c r="P43" s="243"/>
    </row>
    <row r="44" spans="2:16">
      <c r="B44" s="160" t="str">
        <f t="shared" si="3"/>
        <v/>
      </c>
      <c r="C44" s="472">
        <f>IF(D11="","-",+C43+1)</f>
        <v>2041</v>
      </c>
      <c r="D44" s="485">
        <f>IF(F43+SUM(E$17:E43)=D$10,F43,D$10-SUM(E$17:E43))</f>
        <v>679229.45256566512</v>
      </c>
      <c r="E44" s="484">
        <f t="shared" si="13"/>
        <v>40131.322093023256</v>
      </c>
      <c r="F44" s="485">
        <f t="shared" si="14"/>
        <v>639098.1304726419</v>
      </c>
      <c r="G44" s="486">
        <f t="shared" si="15"/>
        <v>115972.29227920683</v>
      </c>
      <c r="H44" s="455">
        <f t="shared" si="16"/>
        <v>115972.29227920683</v>
      </c>
      <c r="I44" s="475">
        <f t="shared" si="4"/>
        <v>0</v>
      </c>
      <c r="J44" s="475"/>
      <c r="K44" s="487"/>
      <c r="L44" s="478">
        <f t="shared" si="17"/>
        <v>0</v>
      </c>
      <c r="M44" s="487"/>
      <c r="N44" s="478">
        <f t="shared" si="5"/>
        <v>0</v>
      </c>
      <c r="O44" s="478">
        <f t="shared" si="6"/>
        <v>0</v>
      </c>
      <c r="P44" s="243"/>
    </row>
    <row r="45" spans="2:16">
      <c r="B45" s="160" t="str">
        <f t="shared" si="3"/>
        <v/>
      </c>
      <c r="C45" s="472">
        <f>IF(D11="","-",+C44+1)</f>
        <v>2042</v>
      </c>
      <c r="D45" s="485">
        <f>IF(F44+SUM(E$17:E44)=D$10,F44,D$10-SUM(E$17:E44))</f>
        <v>639098.1304726419</v>
      </c>
      <c r="E45" s="484">
        <f t="shared" si="13"/>
        <v>40131.322093023256</v>
      </c>
      <c r="F45" s="485">
        <f t="shared" si="14"/>
        <v>598966.80837961868</v>
      </c>
      <c r="G45" s="486">
        <f t="shared" si="15"/>
        <v>111354.92943017255</v>
      </c>
      <c r="H45" s="455">
        <f t="shared" si="16"/>
        <v>111354.92943017255</v>
      </c>
      <c r="I45" s="475">
        <f t="shared" si="4"/>
        <v>0</v>
      </c>
      <c r="J45" s="475"/>
      <c r="K45" s="487"/>
      <c r="L45" s="478">
        <f t="shared" si="17"/>
        <v>0</v>
      </c>
      <c r="M45" s="487"/>
      <c r="N45" s="478">
        <f t="shared" si="5"/>
        <v>0</v>
      </c>
      <c r="O45" s="478">
        <f t="shared" si="6"/>
        <v>0</v>
      </c>
      <c r="P45" s="243"/>
    </row>
    <row r="46" spans="2:16">
      <c r="B46" s="160" t="str">
        <f t="shared" si="3"/>
        <v/>
      </c>
      <c r="C46" s="472">
        <f>IF(D11="","-",+C45+1)</f>
        <v>2043</v>
      </c>
      <c r="D46" s="485">
        <f>IF(F45+SUM(E$17:E45)=D$10,F45,D$10-SUM(E$17:E45))</f>
        <v>598966.80837961868</v>
      </c>
      <c r="E46" s="484">
        <f t="shared" si="13"/>
        <v>40131.322093023256</v>
      </c>
      <c r="F46" s="485">
        <f t="shared" si="14"/>
        <v>558835.48628659546</v>
      </c>
      <c r="G46" s="486">
        <f t="shared" si="15"/>
        <v>106737.56658113829</v>
      </c>
      <c r="H46" s="455">
        <f t="shared" si="16"/>
        <v>106737.56658113829</v>
      </c>
      <c r="I46" s="475">
        <f t="shared" si="4"/>
        <v>0</v>
      </c>
      <c r="J46" s="475"/>
      <c r="K46" s="487"/>
      <c r="L46" s="478">
        <f t="shared" si="17"/>
        <v>0</v>
      </c>
      <c r="M46" s="487"/>
      <c r="N46" s="478">
        <f t="shared" si="5"/>
        <v>0</v>
      </c>
      <c r="O46" s="478">
        <f t="shared" si="6"/>
        <v>0</v>
      </c>
      <c r="P46" s="243"/>
    </row>
    <row r="47" spans="2:16">
      <c r="B47" s="160" t="str">
        <f t="shared" si="3"/>
        <v/>
      </c>
      <c r="C47" s="472">
        <f>IF(D11="","-",+C46+1)</f>
        <v>2044</v>
      </c>
      <c r="D47" s="485">
        <f>IF(F46+SUM(E$17:E46)=D$10,F46,D$10-SUM(E$17:E46))</f>
        <v>558835.48628659546</v>
      </c>
      <c r="E47" s="484">
        <f t="shared" si="13"/>
        <v>40131.322093023256</v>
      </c>
      <c r="F47" s="485">
        <f t="shared" si="14"/>
        <v>518704.16419357219</v>
      </c>
      <c r="G47" s="486">
        <f t="shared" si="15"/>
        <v>102120.20373210404</v>
      </c>
      <c r="H47" s="455">
        <f t="shared" si="16"/>
        <v>102120.20373210404</v>
      </c>
      <c r="I47" s="475">
        <f t="shared" si="4"/>
        <v>0</v>
      </c>
      <c r="J47" s="475"/>
      <c r="K47" s="487"/>
      <c r="L47" s="478">
        <f t="shared" si="17"/>
        <v>0</v>
      </c>
      <c r="M47" s="487"/>
      <c r="N47" s="478">
        <f t="shared" si="5"/>
        <v>0</v>
      </c>
      <c r="O47" s="478">
        <f t="shared" si="6"/>
        <v>0</v>
      </c>
      <c r="P47" s="243"/>
    </row>
    <row r="48" spans="2:16">
      <c r="B48" s="160" t="str">
        <f t="shared" si="3"/>
        <v/>
      </c>
      <c r="C48" s="472">
        <f>IF(D11="","-",+C47+1)</f>
        <v>2045</v>
      </c>
      <c r="D48" s="485">
        <f>IF(F47+SUM(E$17:E47)=D$10,F47,D$10-SUM(E$17:E47))</f>
        <v>518704.16419357219</v>
      </c>
      <c r="E48" s="484">
        <f t="shared" si="13"/>
        <v>40131.322093023256</v>
      </c>
      <c r="F48" s="485">
        <f t="shared" si="14"/>
        <v>478572.84210054891</v>
      </c>
      <c r="G48" s="486">
        <f t="shared" si="15"/>
        <v>97502.840883069759</v>
      </c>
      <c r="H48" s="455">
        <f t="shared" si="16"/>
        <v>97502.840883069759</v>
      </c>
      <c r="I48" s="475">
        <f t="shared" si="4"/>
        <v>0</v>
      </c>
      <c r="J48" s="475"/>
      <c r="K48" s="487"/>
      <c r="L48" s="478">
        <f t="shared" si="17"/>
        <v>0</v>
      </c>
      <c r="M48" s="487"/>
      <c r="N48" s="478">
        <f t="shared" si="5"/>
        <v>0</v>
      </c>
      <c r="O48" s="478">
        <f t="shared" si="6"/>
        <v>0</v>
      </c>
      <c r="P48" s="243"/>
    </row>
    <row r="49" spans="2:16">
      <c r="B49" s="160" t="str">
        <f t="shared" si="3"/>
        <v/>
      </c>
      <c r="C49" s="472">
        <f>IF(D11="","-",+C48+1)</f>
        <v>2046</v>
      </c>
      <c r="D49" s="485">
        <f>IF(F48+SUM(E$17:E48)=D$10,F48,D$10-SUM(E$17:E48))</f>
        <v>478572.84210054891</v>
      </c>
      <c r="E49" s="484">
        <f t="shared" si="13"/>
        <v>40131.322093023256</v>
      </c>
      <c r="F49" s="485">
        <f t="shared" si="14"/>
        <v>438441.52000752563</v>
      </c>
      <c r="G49" s="486">
        <f t="shared" si="15"/>
        <v>92885.478034035506</v>
      </c>
      <c r="H49" s="455">
        <f t="shared" si="16"/>
        <v>92885.478034035506</v>
      </c>
      <c r="I49" s="475">
        <f t="shared" si="4"/>
        <v>0</v>
      </c>
      <c r="J49" s="475"/>
      <c r="K49" s="487"/>
      <c r="L49" s="478">
        <f t="shared" si="17"/>
        <v>0</v>
      </c>
      <c r="M49" s="487"/>
      <c r="N49" s="478">
        <f t="shared" si="5"/>
        <v>0</v>
      </c>
      <c r="O49" s="478">
        <f t="shared" si="6"/>
        <v>0</v>
      </c>
      <c r="P49" s="243"/>
    </row>
    <row r="50" spans="2:16">
      <c r="B50" s="160" t="str">
        <f t="shared" si="3"/>
        <v/>
      </c>
      <c r="C50" s="472">
        <f>IF(D11="","-",+C49+1)</f>
        <v>2047</v>
      </c>
      <c r="D50" s="485">
        <f>IF(F49+SUM(E$17:E49)=D$10,F49,D$10-SUM(E$17:E49))</f>
        <v>438441.52000752563</v>
      </c>
      <c r="E50" s="484">
        <f t="shared" si="13"/>
        <v>40131.322093023256</v>
      </c>
      <c r="F50" s="485">
        <f t="shared" si="14"/>
        <v>398310.19791450235</v>
      </c>
      <c r="G50" s="486">
        <f t="shared" si="15"/>
        <v>88268.115185001225</v>
      </c>
      <c r="H50" s="455">
        <f t="shared" si="16"/>
        <v>88268.115185001225</v>
      </c>
      <c r="I50" s="475">
        <f t="shared" si="4"/>
        <v>0</v>
      </c>
      <c r="J50" s="475"/>
      <c r="K50" s="487"/>
      <c r="L50" s="478">
        <f t="shared" si="17"/>
        <v>0</v>
      </c>
      <c r="M50" s="487"/>
      <c r="N50" s="478">
        <f t="shared" si="5"/>
        <v>0</v>
      </c>
      <c r="O50" s="478">
        <f t="shared" si="6"/>
        <v>0</v>
      </c>
      <c r="P50" s="243"/>
    </row>
    <row r="51" spans="2:16">
      <c r="B51" s="160" t="str">
        <f t="shared" si="3"/>
        <v/>
      </c>
      <c r="C51" s="472">
        <f>IF(D11="","-",+C50+1)</f>
        <v>2048</v>
      </c>
      <c r="D51" s="485">
        <f>IF(F50+SUM(E$17:E50)=D$10,F50,D$10-SUM(E$17:E50))</f>
        <v>398310.19791450235</v>
      </c>
      <c r="E51" s="484">
        <f t="shared" si="13"/>
        <v>40131.322093023256</v>
      </c>
      <c r="F51" s="485">
        <f t="shared" si="14"/>
        <v>358178.87582147907</v>
      </c>
      <c r="G51" s="486">
        <f t="shared" si="15"/>
        <v>83650.752335966972</v>
      </c>
      <c r="H51" s="455">
        <f t="shared" si="16"/>
        <v>83650.752335966972</v>
      </c>
      <c r="I51" s="475">
        <f t="shared" si="4"/>
        <v>0</v>
      </c>
      <c r="J51" s="475"/>
      <c r="K51" s="487"/>
      <c r="L51" s="478">
        <f t="shared" si="17"/>
        <v>0</v>
      </c>
      <c r="M51" s="487"/>
      <c r="N51" s="478">
        <f t="shared" si="5"/>
        <v>0</v>
      </c>
      <c r="O51" s="478">
        <f t="shared" si="6"/>
        <v>0</v>
      </c>
      <c r="P51" s="243"/>
    </row>
    <row r="52" spans="2:16">
      <c r="B52" s="160" t="str">
        <f t="shared" si="3"/>
        <v/>
      </c>
      <c r="C52" s="472">
        <f>IF(D11="","-",+C51+1)</f>
        <v>2049</v>
      </c>
      <c r="D52" s="485">
        <f>IF(F51+SUM(E$17:E51)=D$10,F51,D$10-SUM(E$17:E51))</f>
        <v>358178.87582147907</v>
      </c>
      <c r="E52" s="484">
        <f t="shared" si="13"/>
        <v>40131.322093023256</v>
      </c>
      <c r="F52" s="485">
        <f t="shared" si="14"/>
        <v>318047.55372845579</v>
      </c>
      <c r="G52" s="486">
        <f t="shared" si="15"/>
        <v>79033.38948693269</v>
      </c>
      <c r="H52" s="455">
        <f t="shared" si="16"/>
        <v>79033.38948693269</v>
      </c>
      <c r="I52" s="475">
        <f t="shared" si="4"/>
        <v>0</v>
      </c>
      <c r="J52" s="475"/>
      <c r="K52" s="487"/>
      <c r="L52" s="478">
        <f t="shared" si="17"/>
        <v>0</v>
      </c>
      <c r="M52" s="487"/>
      <c r="N52" s="478">
        <f t="shared" si="5"/>
        <v>0</v>
      </c>
      <c r="O52" s="478">
        <f t="shared" si="6"/>
        <v>0</v>
      </c>
      <c r="P52" s="243"/>
    </row>
    <row r="53" spans="2:16">
      <c r="B53" s="160" t="str">
        <f t="shared" si="3"/>
        <v/>
      </c>
      <c r="C53" s="472">
        <f>IF(D11="","-",+C52+1)</f>
        <v>2050</v>
      </c>
      <c r="D53" s="485">
        <f>IF(F52+SUM(E$17:E52)=D$10,F52,D$10-SUM(E$17:E52))</f>
        <v>318047.55372845579</v>
      </c>
      <c r="E53" s="484">
        <f t="shared" si="13"/>
        <v>40131.322093023256</v>
      </c>
      <c r="F53" s="485">
        <f t="shared" si="14"/>
        <v>277916.23163543252</v>
      </c>
      <c r="G53" s="486">
        <f t="shared" si="15"/>
        <v>74416.026637898438</v>
      </c>
      <c r="H53" s="455">
        <f t="shared" si="16"/>
        <v>74416.026637898438</v>
      </c>
      <c r="I53" s="475">
        <f t="shared" si="4"/>
        <v>0</v>
      </c>
      <c r="J53" s="475"/>
      <c r="K53" s="487"/>
      <c r="L53" s="478">
        <f t="shared" si="17"/>
        <v>0</v>
      </c>
      <c r="M53" s="487"/>
      <c r="N53" s="478">
        <f t="shared" si="5"/>
        <v>0</v>
      </c>
      <c r="O53" s="478">
        <f t="shared" si="6"/>
        <v>0</v>
      </c>
      <c r="P53" s="243"/>
    </row>
    <row r="54" spans="2:16">
      <c r="B54" s="160" t="str">
        <f t="shared" si="3"/>
        <v/>
      </c>
      <c r="C54" s="472">
        <f>IF(D11="","-",+C53+1)</f>
        <v>2051</v>
      </c>
      <c r="D54" s="485">
        <f>IF(F53+SUM(E$17:E53)=D$10,F53,D$10-SUM(E$17:E53))</f>
        <v>277916.23163543252</v>
      </c>
      <c r="E54" s="484">
        <f t="shared" si="13"/>
        <v>40131.322093023256</v>
      </c>
      <c r="F54" s="485">
        <f t="shared" si="14"/>
        <v>237784.90954240927</v>
      </c>
      <c r="G54" s="486">
        <f t="shared" si="15"/>
        <v>69798.663788864171</v>
      </c>
      <c r="H54" s="455">
        <f t="shared" si="16"/>
        <v>69798.663788864171</v>
      </c>
      <c r="I54" s="475">
        <f t="shared" si="4"/>
        <v>0</v>
      </c>
      <c r="J54" s="475"/>
      <c r="K54" s="487"/>
      <c r="L54" s="478">
        <f t="shared" si="17"/>
        <v>0</v>
      </c>
      <c r="M54" s="487"/>
      <c r="N54" s="478">
        <f t="shared" si="5"/>
        <v>0</v>
      </c>
      <c r="O54" s="478">
        <f t="shared" si="6"/>
        <v>0</v>
      </c>
      <c r="P54" s="243"/>
    </row>
    <row r="55" spans="2:16">
      <c r="B55" s="160" t="str">
        <f t="shared" si="3"/>
        <v/>
      </c>
      <c r="C55" s="472">
        <f>IF(D11="","-",+C54+1)</f>
        <v>2052</v>
      </c>
      <c r="D55" s="485">
        <f>IF(F54+SUM(E$17:E54)=D$10,F54,D$10-SUM(E$17:E54))</f>
        <v>237784.90954240927</v>
      </c>
      <c r="E55" s="484">
        <f t="shared" si="13"/>
        <v>40131.322093023256</v>
      </c>
      <c r="F55" s="485">
        <f t="shared" si="14"/>
        <v>197653.58744938602</v>
      </c>
      <c r="G55" s="486">
        <f t="shared" si="15"/>
        <v>65181.300939829904</v>
      </c>
      <c r="H55" s="455">
        <f t="shared" si="16"/>
        <v>65181.300939829904</v>
      </c>
      <c r="I55" s="475">
        <f t="shared" si="4"/>
        <v>0</v>
      </c>
      <c r="J55" s="475"/>
      <c r="K55" s="487"/>
      <c r="L55" s="478">
        <f t="shared" si="17"/>
        <v>0</v>
      </c>
      <c r="M55" s="487"/>
      <c r="N55" s="478">
        <f t="shared" si="5"/>
        <v>0</v>
      </c>
      <c r="O55" s="478">
        <f t="shared" si="6"/>
        <v>0</v>
      </c>
      <c r="P55" s="243"/>
    </row>
    <row r="56" spans="2:16">
      <c r="B56" s="160" t="str">
        <f t="shared" si="3"/>
        <v/>
      </c>
      <c r="C56" s="472">
        <f>IF(D11="","-",+C55+1)</f>
        <v>2053</v>
      </c>
      <c r="D56" s="485">
        <f>IF(F55+SUM(E$17:E55)=D$10,F55,D$10-SUM(E$17:E55))</f>
        <v>197653.58744938602</v>
      </c>
      <c r="E56" s="484">
        <f t="shared" si="13"/>
        <v>40131.322093023256</v>
      </c>
      <c r="F56" s="485">
        <f t="shared" si="14"/>
        <v>157522.26535636277</v>
      </c>
      <c r="G56" s="486">
        <f t="shared" si="15"/>
        <v>60563.938090795637</v>
      </c>
      <c r="H56" s="455">
        <f t="shared" si="16"/>
        <v>60563.938090795637</v>
      </c>
      <c r="I56" s="475">
        <f t="shared" si="4"/>
        <v>0</v>
      </c>
      <c r="J56" s="475"/>
      <c r="K56" s="487"/>
      <c r="L56" s="478">
        <f t="shared" si="17"/>
        <v>0</v>
      </c>
      <c r="M56" s="487"/>
      <c r="N56" s="478">
        <f t="shared" si="5"/>
        <v>0</v>
      </c>
      <c r="O56" s="478">
        <f t="shared" si="6"/>
        <v>0</v>
      </c>
      <c r="P56" s="243"/>
    </row>
    <row r="57" spans="2:16">
      <c r="B57" s="160" t="str">
        <f t="shared" si="3"/>
        <v/>
      </c>
      <c r="C57" s="472">
        <f>IF(D11="","-",+C56+1)</f>
        <v>2054</v>
      </c>
      <c r="D57" s="485">
        <f>IF(F56+SUM(E$17:E56)=D$10,F56,D$10-SUM(E$17:E56))</f>
        <v>157522.26535636277</v>
      </c>
      <c r="E57" s="484">
        <f t="shared" si="13"/>
        <v>40131.322093023256</v>
      </c>
      <c r="F57" s="485">
        <f t="shared" si="14"/>
        <v>117390.94326333952</v>
      </c>
      <c r="G57" s="486">
        <f t="shared" si="15"/>
        <v>55946.575241761377</v>
      </c>
      <c r="H57" s="455">
        <f t="shared" si="16"/>
        <v>55946.575241761377</v>
      </c>
      <c r="I57" s="475">
        <f t="shared" si="4"/>
        <v>0</v>
      </c>
      <c r="J57" s="475"/>
      <c r="K57" s="487"/>
      <c r="L57" s="478">
        <f t="shared" si="17"/>
        <v>0</v>
      </c>
      <c r="M57" s="487"/>
      <c r="N57" s="478">
        <f t="shared" si="5"/>
        <v>0</v>
      </c>
      <c r="O57" s="478">
        <f t="shared" si="6"/>
        <v>0</v>
      </c>
      <c r="P57" s="243"/>
    </row>
    <row r="58" spans="2:16">
      <c r="B58" s="160" t="str">
        <f t="shared" si="3"/>
        <v/>
      </c>
      <c r="C58" s="472">
        <f>IF(D11="","-",+C57+1)</f>
        <v>2055</v>
      </c>
      <c r="D58" s="485">
        <f>IF(F57+SUM(E$17:E57)=D$10,F57,D$10-SUM(E$17:E57))</f>
        <v>117390.94326333952</v>
      </c>
      <c r="E58" s="484">
        <f t="shared" si="13"/>
        <v>40131.322093023256</v>
      </c>
      <c r="F58" s="485">
        <f t="shared" si="14"/>
        <v>77259.62117031627</v>
      </c>
      <c r="G58" s="486">
        <f t="shared" si="15"/>
        <v>51329.212392727117</v>
      </c>
      <c r="H58" s="455">
        <f t="shared" si="16"/>
        <v>51329.212392727117</v>
      </c>
      <c r="I58" s="475">
        <f t="shared" si="4"/>
        <v>0</v>
      </c>
      <c r="J58" s="475"/>
      <c r="K58" s="487"/>
      <c r="L58" s="478">
        <f t="shared" si="17"/>
        <v>0</v>
      </c>
      <c r="M58" s="487"/>
      <c r="N58" s="478">
        <f t="shared" si="5"/>
        <v>0</v>
      </c>
      <c r="O58" s="478">
        <f t="shared" si="6"/>
        <v>0</v>
      </c>
      <c r="P58" s="243"/>
    </row>
    <row r="59" spans="2:16">
      <c r="B59" s="160" t="str">
        <f t="shared" si="3"/>
        <v/>
      </c>
      <c r="C59" s="472">
        <f>IF(D11="","-",+C58+1)</f>
        <v>2056</v>
      </c>
      <c r="D59" s="485">
        <f>IF(F58+SUM(E$17:E58)=D$10,F58,D$10-SUM(E$17:E58))</f>
        <v>77259.62117031627</v>
      </c>
      <c r="E59" s="484">
        <f t="shared" si="13"/>
        <v>40131.322093023256</v>
      </c>
      <c r="F59" s="485">
        <f t="shared" si="14"/>
        <v>37128.299077293013</v>
      </c>
      <c r="G59" s="486">
        <f t="shared" si="15"/>
        <v>46711.84954369285</v>
      </c>
      <c r="H59" s="455">
        <f t="shared" si="16"/>
        <v>46711.84954369285</v>
      </c>
      <c r="I59" s="475">
        <f t="shared" si="4"/>
        <v>0</v>
      </c>
      <c r="J59" s="475"/>
      <c r="K59" s="487"/>
      <c r="L59" s="478">
        <f t="shared" si="17"/>
        <v>0</v>
      </c>
      <c r="M59" s="487"/>
      <c r="N59" s="478">
        <f t="shared" si="5"/>
        <v>0</v>
      </c>
      <c r="O59" s="478">
        <f t="shared" si="6"/>
        <v>0</v>
      </c>
      <c r="P59" s="243"/>
    </row>
    <row r="60" spans="2:16">
      <c r="B60" s="160" t="str">
        <f t="shared" si="3"/>
        <v/>
      </c>
      <c r="C60" s="472">
        <f>IF(D11="","-",+C59+1)</f>
        <v>2057</v>
      </c>
      <c r="D60" s="485">
        <f>IF(F59+SUM(E$17:E59)=D$10,F59,D$10-SUM(E$17:E59))</f>
        <v>37128.299077293013</v>
      </c>
      <c r="E60" s="484">
        <f t="shared" si="13"/>
        <v>37128.299077293013</v>
      </c>
      <c r="F60" s="485">
        <f t="shared" si="14"/>
        <v>0</v>
      </c>
      <c r="G60" s="486">
        <f t="shared" si="15"/>
        <v>39264.222090369243</v>
      </c>
      <c r="H60" s="455">
        <f t="shared" si="16"/>
        <v>39264.222090369243</v>
      </c>
      <c r="I60" s="475">
        <f t="shared" si="4"/>
        <v>0</v>
      </c>
      <c r="J60" s="475"/>
      <c r="K60" s="487"/>
      <c r="L60" s="478">
        <f t="shared" si="17"/>
        <v>0</v>
      </c>
      <c r="M60" s="487"/>
      <c r="N60" s="478">
        <f t="shared" si="5"/>
        <v>0</v>
      </c>
      <c r="O60" s="478">
        <f t="shared" si="6"/>
        <v>0</v>
      </c>
      <c r="P60" s="243"/>
    </row>
    <row r="61" spans="2:16">
      <c r="B61" s="160" t="str">
        <f t="shared" si="3"/>
        <v/>
      </c>
      <c r="C61" s="472">
        <f>IF(D11="","-",+C60+1)</f>
        <v>2058</v>
      </c>
      <c r="D61" s="485">
        <f>IF(F60+SUM(E$17:E60)=D$10,F60,D$10-SUM(E$17:E60))</f>
        <v>0</v>
      </c>
      <c r="E61" s="484">
        <f t="shared" si="13"/>
        <v>0</v>
      </c>
      <c r="F61" s="485">
        <f t="shared" si="14"/>
        <v>0</v>
      </c>
      <c r="G61" s="486">
        <f t="shared" si="15"/>
        <v>0</v>
      </c>
      <c r="H61" s="455">
        <f t="shared" si="16"/>
        <v>0</v>
      </c>
      <c r="I61" s="475">
        <f t="shared" si="4"/>
        <v>0</v>
      </c>
      <c r="J61" s="475"/>
      <c r="K61" s="487"/>
      <c r="L61" s="478">
        <f t="shared" si="17"/>
        <v>0</v>
      </c>
      <c r="M61" s="487"/>
      <c r="N61" s="478">
        <f t="shared" si="5"/>
        <v>0</v>
      </c>
      <c r="O61" s="478">
        <f t="shared" si="6"/>
        <v>0</v>
      </c>
      <c r="P61" s="243"/>
    </row>
    <row r="62" spans="2:16">
      <c r="B62" s="160" t="str">
        <f t="shared" si="3"/>
        <v/>
      </c>
      <c r="C62" s="472">
        <f>IF(D11="","-",+C61+1)</f>
        <v>2059</v>
      </c>
      <c r="D62" s="485">
        <f>IF(F61+SUM(E$17:E61)=D$10,F61,D$10-SUM(E$17:E61))</f>
        <v>0</v>
      </c>
      <c r="E62" s="484">
        <f t="shared" si="13"/>
        <v>0</v>
      </c>
      <c r="F62" s="485">
        <f t="shared" si="14"/>
        <v>0</v>
      </c>
      <c r="G62" s="486">
        <f t="shared" si="15"/>
        <v>0</v>
      </c>
      <c r="H62" s="455">
        <f t="shared" si="16"/>
        <v>0</v>
      </c>
      <c r="I62" s="475">
        <f t="shared" si="4"/>
        <v>0</v>
      </c>
      <c r="J62" s="475"/>
      <c r="K62" s="487"/>
      <c r="L62" s="478">
        <f t="shared" si="17"/>
        <v>0</v>
      </c>
      <c r="M62" s="487"/>
      <c r="N62" s="478">
        <f t="shared" si="5"/>
        <v>0</v>
      </c>
      <c r="O62" s="478">
        <f t="shared" si="6"/>
        <v>0</v>
      </c>
      <c r="P62" s="243"/>
    </row>
    <row r="63" spans="2:16">
      <c r="B63" s="160" t="str">
        <f t="shared" si="3"/>
        <v/>
      </c>
      <c r="C63" s="472">
        <f>IF(D11="","-",+C62+1)</f>
        <v>2060</v>
      </c>
      <c r="D63" s="485">
        <f>IF(F62+SUM(E$17:E62)=D$10,F62,D$10-SUM(E$17:E62))</f>
        <v>0</v>
      </c>
      <c r="E63" s="484">
        <f t="shared" si="13"/>
        <v>0</v>
      </c>
      <c r="F63" s="485">
        <f t="shared" si="14"/>
        <v>0</v>
      </c>
      <c r="G63" s="486">
        <f t="shared" si="15"/>
        <v>0</v>
      </c>
      <c r="H63" s="455">
        <f t="shared" si="16"/>
        <v>0</v>
      </c>
      <c r="I63" s="475">
        <f t="shared" si="4"/>
        <v>0</v>
      </c>
      <c r="J63" s="475"/>
      <c r="K63" s="487"/>
      <c r="L63" s="478">
        <f t="shared" si="17"/>
        <v>0</v>
      </c>
      <c r="M63" s="487"/>
      <c r="N63" s="478">
        <f t="shared" si="5"/>
        <v>0</v>
      </c>
      <c r="O63" s="478">
        <f t="shared" si="6"/>
        <v>0</v>
      </c>
      <c r="P63" s="243"/>
    </row>
    <row r="64" spans="2:16">
      <c r="B64" s="160" t="str">
        <f t="shared" si="3"/>
        <v/>
      </c>
      <c r="C64" s="472">
        <f>IF(D11="","-",+C63+1)</f>
        <v>2061</v>
      </c>
      <c r="D64" s="485">
        <f>IF(F63+SUM(E$17:E63)=D$10,F63,D$10-SUM(E$17:E63))</f>
        <v>0</v>
      </c>
      <c r="E64" s="484">
        <f t="shared" si="13"/>
        <v>0</v>
      </c>
      <c r="F64" s="485">
        <f t="shared" si="14"/>
        <v>0</v>
      </c>
      <c r="G64" s="486">
        <f t="shared" si="15"/>
        <v>0</v>
      </c>
      <c r="H64" s="455">
        <f t="shared" si="16"/>
        <v>0</v>
      </c>
      <c r="I64" s="475">
        <f t="shared" si="4"/>
        <v>0</v>
      </c>
      <c r="J64" s="475"/>
      <c r="K64" s="487"/>
      <c r="L64" s="478">
        <f t="shared" si="17"/>
        <v>0</v>
      </c>
      <c r="M64" s="487"/>
      <c r="N64" s="478">
        <f t="shared" si="5"/>
        <v>0</v>
      </c>
      <c r="O64" s="478">
        <f t="shared" si="6"/>
        <v>0</v>
      </c>
      <c r="P64" s="243"/>
    </row>
    <row r="65" spans="2:16">
      <c r="B65" s="160" t="str">
        <f t="shared" si="3"/>
        <v/>
      </c>
      <c r="C65" s="472">
        <f>IF(D11="","-",+C64+1)</f>
        <v>2062</v>
      </c>
      <c r="D65" s="485">
        <f>IF(F64+SUM(E$17:E64)=D$10,F64,D$10-SUM(E$17:E64))</f>
        <v>0</v>
      </c>
      <c r="E65" s="484">
        <f t="shared" si="13"/>
        <v>0</v>
      </c>
      <c r="F65" s="485">
        <f t="shared" si="14"/>
        <v>0</v>
      </c>
      <c r="G65" s="486">
        <f t="shared" si="15"/>
        <v>0</v>
      </c>
      <c r="H65" s="455">
        <f t="shared" si="16"/>
        <v>0</v>
      </c>
      <c r="I65" s="475">
        <f t="shared" si="4"/>
        <v>0</v>
      </c>
      <c r="J65" s="475"/>
      <c r="K65" s="487"/>
      <c r="L65" s="478">
        <f t="shared" si="17"/>
        <v>0</v>
      </c>
      <c r="M65" s="487"/>
      <c r="N65" s="478">
        <f t="shared" si="5"/>
        <v>0</v>
      </c>
      <c r="O65" s="478">
        <f t="shared" si="6"/>
        <v>0</v>
      </c>
      <c r="P65" s="243"/>
    </row>
    <row r="66" spans="2:16">
      <c r="B66" s="160" t="str">
        <f t="shared" si="3"/>
        <v/>
      </c>
      <c r="C66" s="472">
        <f>IF(D11="","-",+C65+1)</f>
        <v>2063</v>
      </c>
      <c r="D66" s="485">
        <f>IF(F65+SUM(E$17:E65)=D$10,F65,D$10-SUM(E$17:E65))</f>
        <v>0</v>
      </c>
      <c r="E66" s="484">
        <f t="shared" si="13"/>
        <v>0</v>
      </c>
      <c r="F66" s="485">
        <f t="shared" si="14"/>
        <v>0</v>
      </c>
      <c r="G66" s="486">
        <f t="shared" si="15"/>
        <v>0</v>
      </c>
      <c r="H66" s="455">
        <f t="shared" si="16"/>
        <v>0</v>
      </c>
      <c r="I66" s="475">
        <f t="shared" si="4"/>
        <v>0</v>
      </c>
      <c r="J66" s="475"/>
      <c r="K66" s="487"/>
      <c r="L66" s="478">
        <f t="shared" si="17"/>
        <v>0</v>
      </c>
      <c r="M66" s="487"/>
      <c r="N66" s="478">
        <f t="shared" si="5"/>
        <v>0</v>
      </c>
      <c r="O66" s="478">
        <f t="shared" si="6"/>
        <v>0</v>
      </c>
      <c r="P66" s="243"/>
    </row>
    <row r="67" spans="2:16">
      <c r="B67" s="160" t="str">
        <f t="shared" si="3"/>
        <v/>
      </c>
      <c r="C67" s="472">
        <f>IF(D11="","-",+C66+1)</f>
        <v>2064</v>
      </c>
      <c r="D67" s="485">
        <f>IF(F66+SUM(E$17:E66)=D$10,F66,D$10-SUM(E$17:E66))</f>
        <v>0</v>
      </c>
      <c r="E67" s="484">
        <f t="shared" si="13"/>
        <v>0</v>
      </c>
      <c r="F67" s="485">
        <f t="shared" si="14"/>
        <v>0</v>
      </c>
      <c r="G67" s="486">
        <f t="shared" si="15"/>
        <v>0</v>
      </c>
      <c r="H67" s="455">
        <f t="shared" si="16"/>
        <v>0</v>
      </c>
      <c r="I67" s="475">
        <f t="shared" si="4"/>
        <v>0</v>
      </c>
      <c r="J67" s="475"/>
      <c r="K67" s="487"/>
      <c r="L67" s="478">
        <f t="shared" si="17"/>
        <v>0</v>
      </c>
      <c r="M67" s="487"/>
      <c r="N67" s="478">
        <f t="shared" si="5"/>
        <v>0</v>
      </c>
      <c r="O67" s="478">
        <f t="shared" si="6"/>
        <v>0</v>
      </c>
      <c r="P67" s="243"/>
    </row>
    <row r="68" spans="2:16">
      <c r="B68" s="160" t="str">
        <f t="shared" si="3"/>
        <v/>
      </c>
      <c r="C68" s="472">
        <f>IF(D11="","-",+C67+1)</f>
        <v>2065</v>
      </c>
      <c r="D68" s="485">
        <f>IF(F67+SUM(E$17:E67)=D$10,F67,D$10-SUM(E$17:E67))</f>
        <v>0</v>
      </c>
      <c r="E68" s="484">
        <f t="shared" si="13"/>
        <v>0</v>
      </c>
      <c r="F68" s="485">
        <f t="shared" si="14"/>
        <v>0</v>
      </c>
      <c r="G68" s="486">
        <f t="shared" si="15"/>
        <v>0</v>
      </c>
      <c r="H68" s="455">
        <f t="shared" si="16"/>
        <v>0</v>
      </c>
      <c r="I68" s="475">
        <f t="shared" si="4"/>
        <v>0</v>
      </c>
      <c r="J68" s="475"/>
      <c r="K68" s="487"/>
      <c r="L68" s="478">
        <f t="shared" si="17"/>
        <v>0</v>
      </c>
      <c r="M68" s="487"/>
      <c r="N68" s="478">
        <f t="shared" si="5"/>
        <v>0</v>
      </c>
      <c r="O68" s="478">
        <f t="shared" si="6"/>
        <v>0</v>
      </c>
      <c r="P68" s="243"/>
    </row>
    <row r="69" spans="2:16">
      <c r="B69" s="160" t="str">
        <f t="shared" si="3"/>
        <v/>
      </c>
      <c r="C69" s="472">
        <f>IF(D11="","-",+C68+1)</f>
        <v>2066</v>
      </c>
      <c r="D69" s="485">
        <f>IF(F68+SUM(E$17:E68)=D$10,F68,D$10-SUM(E$17:E68))</f>
        <v>0</v>
      </c>
      <c r="E69" s="484">
        <f t="shared" si="13"/>
        <v>0</v>
      </c>
      <c r="F69" s="485">
        <f t="shared" si="14"/>
        <v>0</v>
      </c>
      <c r="G69" s="486">
        <f t="shared" si="15"/>
        <v>0</v>
      </c>
      <c r="H69" s="455">
        <f t="shared" si="16"/>
        <v>0</v>
      </c>
      <c r="I69" s="475">
        <f t="shared" si="4"/>
        <v>0</v>
      </c>
      <c r="J69" s="475"/>
      <c r="K69" s="487"/>
      <c r="L69" s="478">
        <f t="shared" si="17"/>
        <v>0</v>
      </c>
      <c r="M69" s="487"/>
      <c r="N69" s="478">
        <f t="shared" si="5"/>
        <v>0</v>
      </c>
      <c r="O69" s="478">
        <f t="shared" si="6"/>
        <v>0</v>
      </c>
      <c r="P69" s="243"/>
    </row>
    <row r="70" spans="2:16">
      <c r="B70" s="160" t="str">
        <f t="shared" si="3"/>
        <v/>
      </c>
      <c r="C70" s="472">
        <f>IF(D11="","-",+C69+1)</f>
        <v>2067</v>
      </c>
      <c r="D70" s="485">
        <f>IF(F69+SUM(E$17:E69)=D$10,F69,D$10-SUM(E$17:E69))</f>
        <v>0</v>
      </c>
      <c r="E70" s="484">
        <f t="shared" si="13"/>
        <v>0</v>
      </c>
      <c r="F70" s="485">
        <f t="shared" si="14"/>
        <v>0</v>
      </c>
      <c r="G70" s="486">
        <f t="shared" si="15"/>
        <v>0</v>
      </c>
      <c r="H70" s="455">
        <f t="shared" si="16"/>
        <v>0</v>
      </c>
      <c r="I70" s="475">
        <f t="shared" si="4"/>
        <v>0</v>
      </c>
      <c r="J70" s="475"/>
      <c r="K70" s="487"/>
      <c r="L70" s="478">
        <f t="shared" si="17"/>
        <v>0</v>
      </c>
      <c r="M70" s="487"/>
      <c r="N70" s="478">
        <f t="shared" si="5"/>
        <v>0</v>
      </c>
      <c r="O70" s="478">
        <f t="shared" si="6"/>
        <v>0</v>
      </c>
      <c r="P70" s="243"/>
    </row>
    <row r="71" spans="2:16">
      <c r="B71" s="160" t="str">
        <f t="shared" si="3"/>
        <v/>
      </c>
      <c r="C71" s="472">
        <f>IF(D11="","-",+C70+1)</f>
        <v>2068</v>
      </c>
      <c r="D71" s="485">
        <f>IF(F70+SUM(E$17:E70)=D$10,F70,D$10-SUM(E$17:E70))</f>
        <v>0</v>
      </c>
      <c r="E71" s="484">
        <f t="shared" si="13"/>
        <v>0</v>
      </c>
      <c r="F71" s="485">
        <f t="shared" si="14"/>
        <v>0</v>
      </c>
      <c r="G71" s="486">
        <f t="shared" si="15"/>
        <v>0</v>
      </c>
      <c r="H71" s="455">
        <f t="shared" si="16"/>
        <v>0</v>
      </c>
      <c r="I71" s="475">
        <f t="shared" si="4"/>
        <v>0</v>
      </c>
      <c r="J71" s="475"/>
      <c r="K71" s="487"/>
      <c r="L71" s="478">
        <f t="shared" si="17"/>
        <v>0</v>
      </c>
      <c r="M71" s="487"/>
      <c r="N71" s="478">
        <f t="shared" si="5"/>
        <v>0</v>
      </c>
      <c r="O71" s="478">
        <f t="shared" si="6"/>
        <v>0</v>
      </c>
      <c r="P71" s="243"/>
    </row>
    <row r="72" spans="2:16" ht="13.5" thickBot="1">
      <c r="B72" s="160" t="str">
        <f t="shared" si="3"/>
        <v/>
      </c>
      <c r="C72" s="489">
        <f>IF(D11="","-",+C71+1)</f>
        <v>2069</v>
      </c>
      <c r="D72" s="490">
        <f>IF(F71+SUM(E$17:E71)=D$10,F71,D$10-SUM(E$17:E71))</f>
        <v>0</v>
      </c>
      <c r="E72" s="491">
        <f t="shared" si="13"/>
        <v>0</v>
      </c>
      <c r="F72" s="490">
        <f t="shared" si="14"/>
        <v>0</v>
      </c>
      <c r="G72" s="490">
        <f t="shared" si="15"/>
        <v>0</v>
      </c>
      <c r="H72" s="490">
        <f t="shared" si="16"/>
        <v>0</v>
      </c>
      <c r="I72" s="493">
        <f t="shared" si="4"/>
        <v>0</v>
      </c>
      <c r="J72" s="475"/>
      <c r="K72" s="494"/>
      <c r="L72" s="495">
        <f t="shared" si="17"/>
        <v>0</v>
      </c>
      <c r="M72" s="494"/>
      <c r="N72" s="495">
        <f t="shared" si="5"/>
        <v>0</v>
      </c>
      <c r="O72" s="495">
        <f t="shared" si="6"/>
        <v>0</v>
      </c>
      <c r="P72" s="243"/>
    </row>
    <row r="73" spans="2:16">
      <c r="C73" s="347" t="s">
        <v>77</v>
      </c>
      <c r="D73" s="348"/>
      <c r="E73" s="348">
        <f>SUM(E17:E72)</f>
        <v>1725646.8499999999</v>
      </c>
      <c r="F73" s="348"/>
      <c r="G73" s="348">
        <f>SUM(G17:G72)</f>
        <v>6323132.5518479301</v>
      </c>
      <c r="H73" s="348">
        <f>SUM(H17:H72)</f>
        <v>6323132.5518479301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18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195063.32209302325</v>
      </c>
      <c r="N87" s="508">
        <f>IF(J92&lt;D11,0,VLOOKUP(J92,C17:O72,11))</f>
        <v>195063.32209302325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209872.31988794773</v>
      </c>
      <c r="N88" s="512">
        <f>IF(J92&lt;D11,0,VLOOKUP(J92,C99:P154,7))</f>
        <v>209872.31988794773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Darlington-Red Rock 138 kV line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14808.997794924479</v>
      </c>
      <c r="N89" s="517">
        <f>+N88-N87</f>
        <v>14808.997794924479</v>
      </c>
      <c r="O89" s="518">
        <f>+O88-O87</f>
        <v>0</v>
      </c>
      <c r="P89" s="233"/>
    </row>
    <row r="90" spans="1:16" ht="13.5" thickBot="1">
      <c r="C90" s="496"/>
      <c r="D90" s="611" t="s">
        <v>274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TP2012112</v>
      </c>
      <c r="E91" s="522" t="str">
        <f>E9</f>
        <v xml:space="preserve">  SPP Project ID = 30346</v>
      </c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609">
        <v>1725647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2014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4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42089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2014</v>
      </c>
      <c r="D99" s="584"/>
      <c r="E99" s="585"/>
      <c r="F99" s="586"/>
      <c r="G99" s="605"/>
      <c r="H99" s="606"/>
      <c r="I99" s="607"/>
      <c r="J99" s="478">
        <v>0</v>
      </c>
      <c r="K99" s="478"/>
      <c r="L99" s="476">
        <f t="shared" ref="L99:L104" si="18">H99</f>
        <v>0</v>
      </c>
      <c r="M99" s="349">
        <f t="shared" ref="M99:M104" si="19">IF(L99&lt;&gt;0,+H99-L99,0)</f>
        <v>0</v>
      </c>
      <c r="N99" s="476">
        <f t="shared" ref="N99:N104" si="20">I99</f>
        <v>0</v>
      </c>
      <c r="O99" s="475">
        <f>IF(N99&lt;&gt;0,+I99-N99,0)</f>
        <v>0</v>
      </c>
      <c r="P99" s="478">
        <f>+O99-M99</f>
        <v>0</v>
      </c>
    </row>
    <row r="100" spans="1:16">
      <c r="B100" s="160" t="str">
        <f>IF(D100=F99,"","IU")</f>
        <v>IU</v>
      </c>
      <c r="C100" s="472">
        <f>IF(D93="","-",+C99+1)</f>
        <v>2015</v>
      </c>
      <c r="D100" s="584">
        <v>1703523.1724358976</v>
      </c>
      <c r="E100" s="585">
        <v>32760</v>
      </c>
      <c r="F100" s="586">
        <v>1670763.1724358976</v>
      </c>
      <c r="G100" s="586">
        <v>1687143.1724358976</v>
      </c>
      <c r="H100" s="606">
        <v>262957.1205792831</v>
      </c>
      <c r="I100" s="607">
        <v>262957.1205792831</v>
      </c>
      <c r="J100" s="478">
        <f>+I100-H100</f>
        <v>0</v>
      </c>
      <c r="K100" s="478"/>
      <c r="L100" s="476">
        <f t="shared" si="18"/>
        <v>262957.1205792831</v>
      </c>
      <c r="M100" s="349">
        <f t="shared" si="19"/>
        <v>0</v>
      </c>
      <c r="N100" s="476">
        <f t="shared" si="20"/>
        <v>262957.1205792831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21">IF(D101=F100,"","IU")</f>
        <v>IU</v>
      </c>
      <c r="C101" s="472">
        <f>IF(D93="","-",+C100+1)</f>
        <v>2016</v>
      </c>
      <c r="D101" s="584">
        <v>1692887</v>
      </c>
      <c r="E101" s="585">
        <v>37514</v>
      </c>
      <c r="F101" s="586">
        <v>1655373</v>
      </c>
      <c r="G101" s="586">
        <v>1674130</v>
      </c>
      <c r="H101" s="606">
        <v>250555.65084872485</v>
      </c>
      <c r="I101" s="607">
        <v>250555.65084872485</v>
      </c>
      <c r="J101" s="478">
        <f t="shared" ref="J101:J154" si="22">+I101-H101</f>
        <v>0</v>
      </c>
      <c r="K101" s="478"/>
      <c r="L101" s="476">
        <f t="shared" si="18"/>
        <v>250555.65084872485</v>
      </c>
      <c r="M101" s="349">
        <f t="shared" si="19"/>
        <v>0</v>
      </c>
      <c r="N101" s="476">
        <f t="shared" si="20"/>
        <v>250555.65084872485</v>
      </c>
      <c r="O101" s="475">
        <f>IF(N101&lt;&gt;0,+I101-N101,0)</f>
        <v>0</v>
      </c>
      <c r="P101" s="478">
        <f>+O101-M101</f>
        <v>0</v>
      </c>
    </row>
    <row r="102" spans="1:16">
      <c r="B102" s="160" t="str">
        <f t="shared" si="21"/>
        <v/>
      </c>
      <c r="C102" s="472">
        <f>IF(D93="","-",+C101+1)</f>
        <v>2017</v>
      </c>
      <c r="D102" s="584">
        <v>1655373</v>
      </c>
      <c r="E102" s="585">
        <v>37514</v>
      </c>
      <c r="F102" s="586">
        <v>1617859</v>
      </c>
      <c r="G102" s="586">
        <v>1636616</v>
      </c>
      <c r="H102" s="606">
        <v>245122.86632871011</v>
      </c>
      <c r="I102" s="607">
        <v>245122.86632871011</v>
      </c>
      <c r="J102" s="478">
        <f t="shared" si="22"/>
        <v>0</v>
      </c>
      <c r="K102" s="478"/>
      <c r="L102" s="476">
        <f t="shared" si="18"/>
        <v>245122.86632871011</v>
      </c>
      <c r="M102" s="349">
        <f t="shared" si="19"/>
        <v>0</v>
      </c>
      <c r="N102" s="476">
        <f t="shared" si="20"/>
        <v>245122.86632871011</v>
      </c>
      <c r="O102" s="475">
        <f>IF(N102&lt;&gt;0,+I102-N102,0)</f>
        <v>0</v>
      </c>
      <c r="P102" s="478">
        <f>+O102-M102</f>
        <v>0</v>
      </c>
    </row>
    <row r="103" spans="1:16">
      <c r="B103" s="160" t="str">
        <f t="shared" si="21"/>
        <v/>
      </c>
      <c r="C103" s="472">
        <f>IF(D93="","-",+C102+1)</f>
        <v>2018</v>
      </c>
      <c r="D103" s="584">
        <v>1617859</v>
      </c>
      <c r="E103" s="585">
        <v>40131</v>
      </c>
      <c r="F103" s="586">
        <v>1577728</v>
      </c>
      <c r="G103" s="586">
        <v>1597793.5</v>
      </c>
      <c r="H103" s="606">
        <v>204281.22089486517</v>
      </c>
      <c r="I103" s="607">
        <v>204281.22089486517</v>
      </c>
      <c r="J103" s="478">
        <f t="shared" si="22"/>
        <v>0</v>
      </c>
      <c r="K103" s="478"/>
      <c r="L103" s="476">
        <f t="shared" si="18"/>
        <v>204281.22089486517</v>
      </c>
      <c r="M103" s="349">
        <f t="shared" si="19"/>
        <v>0</v>
      </c>
      <c r="N103" s="476">
        <f t="shared" si="20"/>
        <v>204281.22089486517</v>
      </c>
      <c r="O103" s="475">
        <f>IF(N103&lt;&gt;0,+I103-N103,0)</f>
        <v>0</v>
      </c>
      <c r="P103" s="478">
        <f>+O103-M103</f>
        <v>0</v>
      </c>
    </row>
    <row r="104" spans="1:16">
      <c r="B104" s="160" t="str">
        <f t="shared" si="21"/>
        <v/>
      </c>
      <c r="C104" s="472">
        <f>IF(D93="","-",+C103+1)</f>
        <v>2019</v>
      </c>
      <c r="D104" s="584">
        <v>1577728</v>
      </c>
      <c r="E104" s="585">
        <v>42089</v>
      </c>
      <c r="F104" s="586">
        <v>1535639</v>
      </c>
      <c r="G104" s="586">
        <v>1556683.5</v>
      </c>
      <c r="H104" s="606">
        <v>202604.90301828689</v>
      </c>
      <c r="I104" s="607">
        <v>202604.90301828689</v>
      </c>
      <c r="J104" s="478">
        <f t="shared" si="22"/>
        <v>0</v>
      </c>
      <c r="K104" s="478"/>
      <c r="L104" s="476">
        <f t="shared" si="18"/>
        <v>202604.90301828689</v>
      </c>
      <c r="M104" s="349">
        <f t="shared" si="19"/>
        <v>0</v>
      </c>
      <c r="N104" s="476">
        <f t="shared" si="20"/>
        <v>202604.90301828689</v>
      </c>
      <c r="O104" s="478">
        <f t="shared" ref="O104:O130" si="23">IF(N104&lt;&gt;0,+I104-N104,0)</f>
        <v>0</v>
      </c>
      <c r="P104" s="478">
        <f t="shared" ref="P104:P130" si="24">+O104-M104</f>
        <v>0</v>
      </c>
    </row>
    <row r="105" spans="1:16">
      <c r="B105" s="160" t="str">
        <f t="shared" si="21"/>
        <v/>
      </c>
      <c r="C105" s="472">
        <f>IF(D93="","-",+C104+1)</f>
        <v>2020</v>
      </c>
      <c r="D105" s="584">
        <v>1535639</v>
      </c>
      <c r="E105" s="585">
        <v>40131</v>
      </c>
      <c r="F105" s="586">
        <v>1495508</v>
      </c>
      <c r="G105" s="586">
        <v>1515573.5</v>
      </c>
      <c r="H105" s="606">
        <v>214872.45782422918</v>
      </c>
      <c r="I105" s="607">
        <v>214872.45782422918</v>
      </c>
      <c r="J105" s="478">
        <f t="shared" si="22"/>
        <v>0</v>
      </c>
      <c r="K105" s="478"/>
      <c r="L105" s="476">
        <f t="shared" ref="L105" si="25">H105</f>
        <v>214872.45782422918</v>
      </c>
      <c r="M105" s="349">
        <f t="shared" ref="M105" si="26">IF(L105&lt;&gt;0,+H105-L105,0)</f>
        <v>0</v>
      </c>
      <c r="N105" s="476">
        <f t="shared" ref="N105" si="27">I105</f>
        <v>214872.45782422918</v>
      </c>
      <c r="O105" s="478">
        <f t="shared" si="23"/>
        <v>0</v>
      </c>
      <c r="P105" s="478">
        <f t="shared" si="24"/>
        <v>0</v>
      </c>
    </row>
    <row r="106" spans="1:16">
      <c r="B106" s="160" t="str">
        <f t="shared" si="21"/>
        <v/>
      </c>
      <c r="C106" s="472">
        <f>IF(D93="","-",+C105+1)</f>
        <v>2021</v>
      </c>
      <c r="D106" s="347">
        <f>IF(F105+SUM(E$99:E105)=D$92,F105,D$92-SUM(E$99:E105))</f>
        <v>1495508</v>
      </c>
      <c r="E106" s="484">
        <f t="shared" ref="E106:E154" si="28">IF(+J$96&lt;F105,J$96,D106)</f>
        <v>42089</v>
      </c>
      <c r="F106" s="485">
        <f t="shared" ref="F106:F154" si="29">+D106-E106</f>
        <v>1453419</v>
      </c>
      <c r="G106" s="485">
        <f t="shared" ref="G106:G154" si="30">+(F106+D106)/2</f>
        <v>1474463.5</v>
      </c>
      <c r="H106" s="486">
        <f t="shared" ref="H106:H153" si="31">(D106+F106)/2*J$94+E106</f>
        <v>209872.31988794773</v>
      </c>
      <c r="I106" s="542">
        <f t="shared" ref="I106:I153" si="32">+J$95*G106+E106</f>
        <v>209872.31988794773</v>
      </c>
      <c r="J106" s="478">
        <f t="shared" si="22"/>
        <v>0</v>
      </c>
      <c r="K106" s="478"/>
      <c r="L106" s="487"/>
      <c r="M106" s="478">
        <f t="shared" ref="M106:M130" si="33">IF(L106&lt;&gt;0,+H106-L106,0)</f>
        <v>0</v>
      </c>
      <c r="N106" s="487"/>
      <c r="O106" s="478">
        <f t="shared" si="23"/>
        <v>0</v>
      </c>
      <c r="P106" s="478">
        <f t="shared" si="24"/>
        <v>0</v>
      </c>
    </row>
    <row r="107" spans="1:16">
      <c r="B107" s="160" t="str">
        <f t="shared" si="21"/>
        <v/>
      </c>
      <c r="C107" s="472">
        <f>IF(D93="","-",+C106+1)</f>
        <v>2022</v>
      </c>
      <c r="D107" s="347">
        <f>IF(F106+SUM(E$99:E106)=D$92,F106,D$92-SUM(E$99:E106))</f>
        <v>1453419</v>
      </c>
      <c r="E107" s="484">
        <f t="shared" si="28"/>
        <v>42089</v>
      </c>
      <c r="F107" s="485">
        <f t="shared" si="29"/>
        <v>1411330</v>
      </c>
      <c r="G107" s="485">
        <f t="shared" si="30"/>
        <v>1432374.5</v>
      </c>
      <c r="H107" s="486">
        <f t="shared" si="31"/>
        <v>205082.89502204646</v>
      </c>
      <c r="I107" s="542">
        <f t="shared" si="32"/>
        <v>205082.89502204646</v>
      </c>
      <c r="J107" s="478">
        <f t="shared" si="22"/>
        <v>0</v>
      </c>
      <c r="K107" s="478"/>
      <c r="L107" s="487"/>
      <c r="M107" s="478">
        <f t="shared" si="33"/>
        <v>0</v>
      </c>
      <c r="N107" s="487"/>
      <c r="O107" s="478">
        <f t="shared" si="23"/>
        <v>0</v>
      </c>
      <c r="P107" s="478">
        <f t="shared" si="24"/>
        <v>0</v>
      </c>
    </row>
    <row r="108" spans="1:16">
      <c r="B108" s="160" t="str">
        <f t="shared" si="21"/>
        <v/>
      </c>
      <c r="C108" s="472">
        <f>IF(D93="","-",+C107+1)</f>
        <v>2023</v>
      </c>
      <c r="D108" s="347">
        <f>IF(F107+SUM(E$99:E107)=D$92,F107,D$92-SUM(E$99:E107))</f>
        <v>1411330</v>
      </c>
      <c r="E108" s="484">
        <f t="shared" si="28"/>
        <v>42089</v>
      </c>
      <c r="F108" s="485">
        <f t="shared" si="29"/>
        <v>1369241</v>
      </c>
      <c r="G108" s="485">
        <f t="shared" si="30"/>
        <v>1390285.5</v>
      </c>
      <c r="H108" s="486">
        <f t="shared" si="31"/>
        <v>200293.47015614517</v>
      </c>
      <c r="I108" s="542">
        <f t="shared" si="32"/>
        <v>200293.47015614517</v>
      </c>
      <c r="J108" s="478">
        <f t="shared" si="22"/>
        <v>0</v>
      </c>
      <c r="K108" s="478"/>
      <c r="L108" s="487"/>
      <c r="M108" s="478">
        <f t="shared" si="33"/>
        <v>0</v>
      </c>
      <c r="N108" s="487"/>
      <c r="O108" s="478">
        <f t="shared" si="23"/>
        <v>0</v>
      </c>
      <c r="P108" s="478">
        <f t="shared" si="24"/>
        <v>0</v>
      </c>
    </row>
    <row r="109" spans="1:16">
      <c r="B109" s="160" t="str">
        <f t="shared" si="21"/>
        <v/>
      </c>
      <c r="C109" s="472">
        <f>IF(D93="","-",+C108+1)</f>
        <v>2024</v>
      </c>
      <c r="D109" s="347">
        <f>IF(F108+SUM(E$99:E108)=D$92,F108,D$92-SUM(E$99:E108))</f>
        <v>1369241</v>
      </c>
      <c r="E109" s="484">
        <f t="shared" si="28"/>
        <v>42089</v>
      </c>
      <c r="F109" s="485">
        <f t="shared" si="29"/>
        <v>1327152</v>
      </c>
      <c r="G109" s="485">
        <f t="shared" si="30"/>
        <v>1348196.5</v>
      </c>
      <c r="H109" s="486">
        <f t="shared" si="31"/>
        <v>195504.0452902439</v>
      </c>
      <c r="I109" s="542">
        <f t="shared" si="32"/>
        <v>195504.0452902439</v>
      </c>
      <c r="J109" s="478">
        <f t="shared" si="22"/>
        <v>0</v>
      </c>
      <c r="K109" s="478"/>
      <c r="L109" s="487"/>
      <c r="M109" s="478">
        <f t="shared" si="33"/>
        <v>0</v>
      </c>
      <c r="N109" s="487"/>
      <c r="O109" s="478">
        <f t="shared" si="23"/>
        <v>0</v>
      </c>
      <c r="P109" s="478">
        <f t="shared" si="24"/>
        <v>0</v>
      </c>
    </row>
    <row r="110" spans="1:16">
      <c r="B110" s="160" t="str">
        <f t="shared" si="21"/>
        <v/>
      </c>
      <c r="C110" s="472">
        <f>IF(D93="","-",+C109+1)</f>
        <v>2025</v>
      </c>
      <c r="D110" s="347">
        <f>IF(F109+SUM(E$99:E109)=D$92,F109,D$92-SUM(E$99:E109))</f>
        <v>1327152</v>
      </c>
      <c r="E110" s="484">
        <f t="shared" si="28"/>
        <v>42089</v>
      </c>
      <c r="F110" s="485">
        <f t="shared" si="29"/>
        <v>1285063</v>
      </c>
      <c r="G110" s="485">
        <f t="shared" si="30"/>
        <v>1306107.5</v>
      </c>
      <c r="H110" s="486">
        <f t="shared" si="31"/>
        <v>190714.6204243426</v>
      </c>
      <c r="I110" s="542">
        <f t="shared" si="32"/>
        <v>190714.6204243426</v>
      </c>
      <c r="J110" s="478">
        <f t="shared" si="22"/>
        <v>0</v>
      </c>
      <c r="K110" s="478"/>
      <c r="L110" s="487"/>
      <c r="M110" s="478">
        <f t="shared" si="33"/>
        <v>0</v>
      </c>
      <c r="N110" s="487"/>
      <c r="O110" s="478">
        <f t="shared" si="23"/>
        <v>0</v>
      </c>
      <c r="P110" s="478">
        <f t="shared" si="24"/>
        <v>0</v>
      </c>
    </row>
    <row r="111" spans="1:16">
      <c r="B111" s="160" t="str">
        <f t="shared" si="21"/>
        <v/>
      </c>
      <c r="C111" s="472">
        <f>IF(D93="","-",+C110+1)</f>
        <v>2026</v>
      </c>
      <c r="D111" s="347">
        <f>IF(F110+SUM(E$99:E110)=D$92,F110,D$92-SUM(E$99:E110))</f>
        <v>1285063</v>
      </c>
      <c r="E111" s="484">
        <f t="shared" si="28"/>
        <v>42089</v>
      </c>
      <c r="F111" s="485">
        <f t="shared" si="29"/>
        <v>1242974</v>
      </c>
      <c r="G111" s="485">
        <f t="shared" si="30"/>
        <v>1264018.5</v>
      </c>
      <c r="H111" s="486">
        <f t="shared" si="31"/>
        <v>185925.19555844134</v>
      </c>
      <c r="I111" s="542">
        <f t="shared" si="32"/>
        <v>185925.19555844134</v>
      </c>
      <c r="J111" s="478">
        <f t="shared" si="22"/>
        <v>0</v>
      </c>
      <c r="K111" s="478"/>
      <c r="L111" s="487"/>
      <c r="M111" s="478">
        <f t="shared" si="33"/>
        <v>0</v>
      </c>
      <c r="N111" s="487"/>
      <c r="O111" s="478">
        <f t="shared" si="23"/>
        <v>0</v>
      </c>
      <c r="P111" s="478">
        <f t="shared" si="24"/>
        <v>0</v>
      </c>
    </row>
    <row r="112" spans="1:16">
      <c r="B112" s="160" t="str">
        <f t="shared" si="21"/>
        <v/>
      </c>
      <c r="C112" s="472">
        <f>IF(D93="","-",+C111+1)</f>
        <v>2027</v>
      </c>
      <c r="D112" s="347">
        <f>IF(F111+SUM(E$99:E111)=D$92,F111,D$92-SUM(E$99:E111))</f>
        <v>1242974</v>
      </c>
      <c r="E112" s="484">
        <f t="shared" si="28"/>
        <v>42089</v>
      </c>
      <c r="F112" s="485">
        <f t="shared" si="29"/>
        <v>1200885</v>
      </c>
      <c r="G112" s="485">
        <f t="shared" si="30"/>
        <v>1221929.5</v>
      </c>
      <c r="H112" s="486">
        <f t="shared" si="31"/>
        <v>181135.77069254004</v>
      </c>
      <c r="I112" s="542">
        <f t="shared" si="32"/>
        <v>181135.77069254004</v>
      </c>
      <c r="J112" s="478">
        <f t="shared" si="22"/>
        <v>0</v>
      </c>
      <c r="K112" s="478"/>
      <c r="L112" s="487"/>
      <c r="M112" s="478">
        <f t="shared" si="33"/>
        <v>0</v>
      </c>
      <c r="N112" s="487"/>
      <c r="O112" s="478">
        <f t="shared" si="23"/>
        <v>0</v>
      </c>
      <c r="P112" s="478">
        <f t="shared" si="24"/>
        <v>0</v>
      </c>
    </row>
    <row r="113" spans="2:16">
      <c r="B113" s="160" t="str">
        <f t="shared" si="21"/>
        <v/>
      </c>
      <c r="C113" s="472">
        <f>IF(D93="","-",+C112+1)</f>
        <v>2028</v>
      </c>
      <c r="D113" s="347">
        <f>IF(F112+SUM(E$99:E112)=D$92,F112,D$92-SUM(E$99:E112))</f>
        <v>1200885</v>
      </c>
      <c r="E113" s="484">
        <f t="shared" si="28"/>
        <v>42089</v>
      </c>
      <c r="F113" s="485">
        <f t="shared" si="29"/>
        <v>1158796</v>
      </c>
      <c r="G113" s="485">
        <f t="shared" si="30"/>
        <v>1179840.5</v>
      </c>
      <c r="H113" s="486">
        <f t="shared" si="31"/>
        <v>176346.34582663878</v>
      </c>
      <c r="I113" s="542">
        <f t="shared" si="32"/>
        <v>176346.34582663878</v>
      </c>
      <c r="J113" s="478">
        <f t="shared" si="22"/>
        <v>0</v>
      </c>
      <c r="K113" s="478"/>
      <c r="L113" s="487"/>
      <c r="M113" s="478">
        <f t="shared" si="33"/>
        <v>0</v>
      </c>
      <c r="N113" s="487"/>
      <c r="O113" s="478">
        <f t="shared" si="23"/>
        <v>0</v>
      </c>
      <c r="P113" s="478">
        <f t="shared" si="24"/>
        <v>0</v>
      </c>
    </row>
    <row r="114" spans="2:16">
      <c r="B114" s="160" t="str">
        <f t="shared" si="21"/>
        <v/>
      </c>
      <c r="C114" s="472">
        <f>IF(D93="","-",+C113+1)</f>
        <v>2029</v>
      </c>
      <c r="D114" s="347">
        <f>IF(F113+SUM(E$99:E113)=D$92,F113,D$92-SUM(E$99:E113))</f>
        <v>1158796</v>
      </c>
      <c r="E114" s="484">
        <f t="shared" si="28"/>
        <v>42089</v>
      </c>
      <c r="F114" s="485">
        <f t="shared" si="29"/>
        <v>1116707</v>
      </c>
      <c r="G114" s="485">
        <f t="shared" si="30"/>
        <v>1137751.5</v>
      </c>
      <c r="H114" s="486">
        <f t="shared" si="31"/>
        <v>171556.92096073751</v>
      </c>
      <c r="I114" s="542">
        <f t="shared" si="32"/>
        <v>171556.92096073751</v>
      </c>
      <c r="J114" s="478">
        <f t="shared" si="22"/>
        <v>0</v>
      </c>
      <c r="K114" s="478"/>
      <c r="L114" s="487"/>
      <c r="M114" s="478">
        <f t="shared" si="33"/>
        <v>0</v>
      </c>
      <c r="N114" s="487"/>
      <c r="O114" s="478">
        <f t="shared" si="23"/>
        <v>0</v>
      </c>
      <c r="P114" s="478">
        <f t="shared" si="24"/>
        <v>0</v>
      </c>
    </row>
    <row r="115" spans="2:16">
      <c r="B115" s="160" t="str">
        <f t="shared" si="21"/>
        <v/>
      </c>
      <c r="C115" s="472">
        <f>IF(D93="","-",+C114+1)</f>
        <v>2030</v>
      </c>
      <c r="D115" s="347">
        <f>IF(F114+SUM(E$99:E114)=D$92,F114,D$92-SUM(E$99:E114))</f>
        <v>1116707</v>
      </c>
      <c r="E115" s="484">
        <f t="shared" si="28"/>
        <v>42089</v>
      </c>
      <c r="F115" s="485">
        <f t="shared" si="29"/>
        <v>1074618</v>
      </c>
      <c r="G115" s="485">
        <f t="shared" si="30"/>
        <v>1095662.5</v>
      </c>
      <c r="H115" s="486">
        <f t="shared" si="31"/>
        <v>166767.49609483621</v>
      </c>
      <c r="I115" s="542">
        <f t="shared" si="32"/>
        <v>166767.49609483621</v>
      </c>
      <c r="J115" s="478">
        <f t="shared" si="22"/>
        <v>0</v>
      </c>
      <c r="K115" s="478"/>
      <c r="L115" s="487"/>
      <c r="M115" s="478">
        <f t="shared" si="33"/>
        <v>0</v>
      </c>
      <c r="N115" s="487"/>
      <c r="O115" s="478">
        <f t="shared" si="23"/>
        <v>0</v>
      </c>
      <c r="P115" s="478">
        <f t="shared" si="24"/>
        <v>0</v>
      </c>
    </row>
    <row r="116" spans="2:16">
      <c r="B116" s="160" t="str">
        <f t="shared" si="21"/>
        <v/>
      </c>
      <c r="C116" s="472">
        <f>IF(D93="","-",+C115+1)</f>
        <v>2031</v>
      </c>
      <c r="D116" s="347">
        <f>IF(F115+SUM(E$99:E115)=D$92,F115,D$92-SUM(E$99:E115))</f>
        <v>1074618</v>
      </c>
      <c r="E116" s="484">
        <f t="shared" si="28"/>
        <v>42089</v>
      </c>
      <c r="F116" s="485">
        <f t="shared" si="29"/>
        <v>1032529</v>
      </c>
      <c r="G116" s="485">
        <f t="shared" si="30"/>
        <v>1053573.5</v>
      </c>
      <c r="H116" s="486">
        <f t="shared" si="31"/>
        <v>161978.07122893492</v>
      </c>
      <c r="I116" s="542">
        <f t="shared" si="32"/>
        <v>161978.07122893492</v>
      </c>
      <c r="J116" s="478">
        <f t="shared" si="22"/>
        <v>0</v>
      </c>
      <c r="K116" s="478"/>
      <c r="L116" s="487"/>
      <c r="M116" s="478">
        <f t="shared" si="33"/>
        <v>0</v>
      </c>
      <c r="N116" s="487"/>
      <c r="O116" s="478">
        <f t="shared" si="23"/>
        <v>0</v>
      </c>
      <c r="P116" s="478">
        <f t="shared" si="24"/>
        <v>0</v>
      </c>
    </row>
    <row r="117" spans="2:16">
      <c r="B117" s="160" t="str">
        <f t="shared" si="21"/>
        <v/>
      </c>
      <c r="C117" s="472">
        <f>IF(D93="","-",+C116+1)</f>
        <v>2032</v>
      </c>
      <c r="D117" s="347">
        <f>IF(F116+SUM(E$99:E116)=D$92,F116,D$92-SUM(E$99:E116))</f>
        <v>1032529</v>
      </c>
      <c r="E117" s="484">
        <f t="shared" si="28"/>
        <v>42089</v>
      </c>
      <c r="F117" s="485">
        <f t="shared" si="29"/>
        <v>990440</v>
      </c>
      <c r="G117" s="485">
        <f t="shared" si="30"/>
        <v>1011484.5</v>
      </c>
      <c r="H117" s="486">
        <f t="shared" si="31"/>
        <v>157188.64636303365</v>
      </c>
      <c r="I117" s="542">
        <f t="shared" si="32"/>
        <v>157188.64636303365</v>
      </c>
      <c r="J117" s="478">
        <f t="shared" si="22"/>
        <v>0</v>
      </c>
      <c r="K117" s="478"/>
      <c r="L117" s="487"/>
      <c r="M117" s="478">
        <f t="shared" si="33"/>
        <v>0</v>
      </c>
      <c r="N117" s="487"/>
      <c r="O117" s="478">
        <f t="shared" si="23"/>
        <v>0</v>
      </c>
      <c r="P117" s="478">
        <f t="shared" si="24"/>
        <v>0</v>
      </c>
    </row>
    <row r="118" spans="2:16">
      <c r="B118" s="160" t="str">
        <f t="shared" si="21"/>
        <v/>
      </c>
      <c r="C118" s="472">
        <f>IF(D93="","-",+C117+1)</f>
        <v>2033</v>
      </c>
      <c r="D118" s="347">
        <f>IF(F117+SUM(E$99:E117)=D$92,F117,D$92-SUM(E$99:E117))</f>
        <v>990440</v>
      </c>
      <c r="E118" s="484">
        <f t="shared" si="28"/>
        <v>42089</v>
      </c>
      <c r="F118" s="485">
        <f t="shared" si="29"/>
        <v>948351</v>
      </c>
      <c r="G118" s="485">
        <f t="shared" si="30"/>
        <v>969395.5</v>
      </c>
      <c r="H118" s="486">
        <f t="shared" si="31"/>
        <v>152399.22149713238</v>
      </c>
      <c r="I118" s="542">
        <f t="shared" si="32"/>
        <v>152399.22149713238</v>
      </c>
      <c r="J118" s="478">
        <f t="shared" si="22"/>
        <v>0</v>
      </c>
      <c r="K118" s="478"/>
      <c r="L118" s="487"/>
      <c r="M118" s="478">
        <f t="shared" si="33"/>
        <v>0</v>
      </c>
      <c r="N118" s="487"/>
      <c r="O118" s="478">
        <f t="shared" si="23"/>
        <v>0</v>
      </c>
      <c r="P118" s="478">
        <f t="shared" si="24"/>
        <v>0</v>
      </c>
    </row>
    <row r="119" spans="2:16">
      <c r="B119" s="160" t="str">
        <f t="shared" si="21"/>
        <v/>
      </c>
      <c r="C119" s="472">
        <f>IF(D93="","-",+C118+1)</f>
        <v>2034</v>
      </c>
      <c r="D119" s="347">
        <f>IF(F118+SUM(E$99:E118)=D$92,F118,D$92-SUM(E$99:E118))</f>
        <v>948351</v>
      </c>
      <c r="E119" s="484">
        <f t="shared" si="28"/>
        <v>42089</v>
      </c>
      <c r="F119" s="485">
        <f t="shared" si="29"/>
        <v>906262</v>
      </c>
      <c r="G119" s="485">
        <f t="shared" si="30"/>
        <v>927306.5</v>
      </c>
      <c r="H119" s="486">
        <f t="shared" si="31"/>
        <v>147609.79663123109</v>
      </c>
      <c r="I119" s="542">
        <f t="shared" si="32"/>
        <v>147609.79663123109</v>
      </c>
      <c r="J119" s="478">
        <f t="shared" si="22"/>
        <v>0</v>
      </c>
      <c r="K119" s="478"/>
      <c r="L119" s="487"/>
      <c r="M119" s="478">
        <f t="shared" si="33"/>
        <v>0</v>
      </c>
      <c r="N119" s="487"/>
      <c r="O119" s="478">
        <f t="shared" si="23"/>
        <v>0</v>
      </c>
      <c r="P119" s="478">
        <f t="shared" si="24"/>
        <v>0</v>
      </c>
    </row>
    <row r="120" spans="2:16">
      <c r="B120" s="160" t="str">
        <f t="shared" si="21"/>
        <v/>
      </c>
      <c r="C120" s="472">
        <f>IF(D93="","-",+C119+1)</f>
        <v>2035</v>
      </c>
      <c r="D120" s="347">
        <f>IF(F119+SUM(E$99:E119)=D$92,F119,D$92-SUM(E$99:E119))</f>
        <v>906262</v>
      </c>
      <c r="E120" s="484">
        <f t="shared" si="28"/>
        <v>42089</v>
      </c>
      <c r="F120" s="485">
        <f t="shared" si="29"/>
        <v>864173</v>
      </c>
      <c r="G120" s="485">
        <f t="shared" si="30"/>
        <v>885217.5</v>
      </c>
      <c r="H120" s="486">
        <f t="shared" si="31"/>
        <v>142820.37176532979</v>
      </c>
      <c r="I120" s="542">
        <f t="shared" si="32"/>
        <v>142820.37176532979</v>
      </c>
      <c r="J120" s="478">
        <f t="shared" si="22"/>
        <v>0</v>
      </c>
      <c r="K120" s="478"/>
      <c r="L120" s="487"/>
      <c r="M120" s="478">
        <f t="shared" si="33"/>
        <v>0</v>
      </c>
      <c r="N120" s="487"/>
      <c r="O120" s="478">
        <f t="shared" si="23"/>
        <v>0</v>
      </c>
      <c r="P120" s="478">
        <f t="shared" si="24"/>
        <v>0</v>
      </c>
    </row>
    <row r="121" spans="2:16">
      <c r="B121" s="160" t="str">
        <f t="shared" si="21"/>
        <v/>
      </c>
      <c r="C121" s="472">
        <f>IF(D93="","-",+C120+1)</f>
        <v>2036</v>
      </c>
      <c r="D121" s="347">
        <f>IF(F120+SUM(E$99:E120)=D$92,F120,D$92-SUM(E$99:E120))</f>
        <v>864173</v>
      </c>
      <c r="E121" s="484">
        <f t="shared" si="28"/>
        <v>42089</v>
      </c>
      <c r="F121" s="485">
        <f t="shared" si="29"/>
        <v>822084</v>
      </c>
      <c r="G121" s="485">
        <f t="shared" si="30"/>
        <v>843128.5</v>
      </c>
      <c r="H121" s="486">
        <f t="shared" si="31"/>
        <v>138030.94689942853</v>
      </c>
      <c r="I121" s="542">
        <f t="shared" si="32"/>
        <v>138030.94689942853</v>
      </c>
      <c r="J121" s="478">
        <f t="shared" si="22"/>
        <v>0</v>
      </c>
      <c r="K121" s="478"/>
      <c r="L121" s="487"/>
      <c r="M121" s="478">
        <f t="shared" si="33"/>
        <v>0</v>
      </c>
      <c r="N121" s="487"/>
      <c r="O121" s="478">
        <f t="shared" si="23"/>
        <v>0</v>
      </c>
      <c r="P121" s="478">
        <f t="shared" si="24"/>
        <v>0</v>
      </c>
    </row>
    <row r="122" spans="2:16">
      <c r="B122" s="160" t="str">
        <f t="shared" si="21"/>
        <v/>
      </c>
      <c r="C122" s="472">
        <f>IF(D93="","-",+C121+1)</f>
        <v>2037</v>
      </c>
      <c r="D122" s="347">
        <f>IF(F121+SUM(E$99:E121)=D$92,F121,D$92-SUM(E$99:E121))</f>
        <v>822084</v>
      </c>
      <c r="E122" s="484">
        <f t="shared" si="28"/>
        <v>42089</v>
      </c>
      <c r="F122" s="485">
        <f t="shared" si="29"/>
        <v>779995</v>
      </c>
      <c r="G122" s="485">
        <f t="shared" si="30"/>
        <v>801039.5</v>
      </c>
      <c r="H122" s="486">
        <f t="shared" si="31"/>
        <v>133241.52203352726</v>
      </c>
      <c r="I122" s="542">
        <f t="shared" si="32"/>
        <v>133241.52203352726</v>
      </c>
      <c r="J122" s="478">
        <f t="shared" si="22"/>
        <v>0</v>
      </c>
      <c r="K122" s="478"/>
      <c r="L122" s="487"/>
      <c r="M122" s="478">
        <f t="shared" si="33"/>
        <v>0</v>
      </c>
      <c r="N122" s="487"/>
      <c r="O122" s="478">
        <f t="shared" si="23"/>
        <v>0</v>
      </c>
      <c r="P122" s="478">
        <f t="shared" si="24"/>
        <v>0</v>
      </c>
    </row>
    <row r="123" spans="2:16">
      <c r="B123" s="160" t="str">
        <f t="shared" si="21"/>
        <v/>
      </c>
      <c r="C123" s="472">
        <f>IF(D93="","-",+C122+1)</f>
        <v>2038</v>
      </c>
      <c r="D123" s="347">
        <f>IF(F122+SUM(E$99:E122)=D$92,F122,D$92-SUM(E$99:E122))</f>
        <v>779995</v>
      </c>
      <c r="E123" s="484">
        <f t="shared" si="28"/>
        <v>42089</v>
      </c>
      <c r="F123" s="485">
        <f t="shared" si="29"/>
        <v>737906</v>
      </c>
      <c r="G123" s="485">
        <f t="shared" si="30"/>
        <v>758950.5</v>
      </c>
      <c r="H123" s="486">
        <f t="shared" si="31"/>
        <v>128452.09716762597</v>
      </c>
      <c r="I123" s="542">
        <f t="shared" si="32"/>
        <v>128452.09716762597</v>
      </c>
      <c r="J123" s="478">
        <f t="shared" si="22"/>
        <v>0</v>
      </c>
      <c r="K123" s="478"/>
      <c r="L123" s="487"/>
      <c r="M123" s="478">
        <f t="shared" si="33"/>
        <v>0</v>
      </c>
      <c r="N123" s="487"/>
      <c r="O123" s="478">
        <f t="shared" si="23"/>
        <v>0</v>
      </c>
      <c r="P123" s="478">
        <f t="shared" si="24"/>
        <v>0</v>
      </c>
    </row>
    <row r="124" spans="2:16">
      <c r="B124" s="160" t="str">
        <f t="shared" si="21"/>
        <v/>
      </c>
      <c r="C124" s="472">
        <f>IF(D93="","-",+C123+1)</f>
        <v>2039</v>
      </c>
      <c r="D124" s="347">
        <f>IF(F123+SUM(E$99:E123)=D$92,F123,D$92-SUM(E$99:E123))</f>
        <v>737906</v>
      </c>
      <c r="E124" s="484">
        <f t="shared" si="28"/>
        <v>42089</v>
      </c>
      <c r="F124" s="485">
        <f t="shared" si="29"/>
        <v>695817</v>
      </c>
      <c r="G124" s="485">
        <f t="shared" si="30"/>
        <v>716861.5</v>
      </c>
      <c r="H124" s="486">
        <f t="shared" si="31"/>
        <v>123662.6723017247</v>
      </c>
      <c r="I124" s="542">
        <f t="shared" si="32"/>
        <v>123662.6723017247</v>
      </c>
      <c r="J124" s="478">
        <f t="shared" si="22"/>
        <v>0</v>
      </c>
      <c r="K124" s="478"/>
      <c r="L124" s="487"/>
      <c r="M124" s="478">
        <f t="shared" si="33"/>
        <v>0</v>
      </c>
      <c r="N124" s="487"/>
      <c r="O124" s="478">
        <f t="shared" si="23"/>
        <v>0</v>
      </c>
      <c r="P124" s="478">
        <f t="shared" si="24"/>
        <v>0</v>
      </c>
    </row>
    <row r="125" spans="2:16">
      <c r="B125" s="160" t="str">
        <f t="shared" si="21"/>
        <v/>
      </c>
      <c r="C125" s="472">
        <f>IF(D93="","-",+C124+1)</f>
        <v>2040</v>
      </c>
      <c r="D125" s="347">
        <f>IF(F124+SUM(E$99:E124)=D$92,F124,D$92-SUM(E$99:E124))</f>
        <v>695817</v>
      </c>
      <c r="E125" s="484">
        <f t="shared" si="28"/>
        <v>42089</v>
      </c>
      <c r="F125" s="485">
        <f t="shared" si="29"/>
        <v>653728</v>
      </c>
      <c r="G125" s="485">
        <f t="shared" si="30"/>
        <v>674772.5</v>
      </c>
      <c r="H125" s="486">
        <f t="shared" si="31"/>
        <v>118873.24743582342</v>
      </c>
      <c r="I125" s="542">
        <f t="shared" si="32"/>
        <v>118873.24743582342</v>
      </c>
      <c r="J125" s="478">
        <f t="shared" si="22"/>
        <v>0</v>
      </c>
      <c r="K125" s="478"/>
      <c r="L125" s="487"/>
      <c r="M125" s="478">
        <f t="shared" si="33"/>
        <v>0</v>
      </c>
      <c r="N125" s="487"/>
      <c r="O125" s="478">
        <f t="shared" si="23"/>
        <v>0</v>
      </c>
      <c r="P125" s="478">
        <f t="shared" si="24"/>
        <v>0</v>
      </c>
    </row>
    <row r="126" spans="2:16">
      <c r="B126" s="160" t="str">
        <f t="shared" si="21"/>
        <v/>
      </c>
      <c r="C126" s="472">
        <f>IF(D93="","-",+C125+1)</f>
        <v>2041</v>
      </c>
      <c r="D126" s="347">
        <f>IF(F125+SUM(E$99:E125)=D$92,F125,D$92-SUM(E$99:E125))</f>
        <v>653728</v>
      </c>
      <c r="E126" s="484">
        <f t="shared" si="28"/>
        <v>42089</v>
      </c>
      <c r="F126" s="485">
        <f t="shared" si="29"/>
        <v>611639</v>
      </c>
      <c r="G126" s="485">
        <f t="shared" si="30"/>
        <v>632683.5</v>
      </c>
      <c r="H126" s="486">
        <f t="shared" si="31"/>
        <v>114083.82256992214</v>
      </c>
      <c r="I126" s="542">
        <f t="shared" si="32"/>
        <v>114083.82256992214</v>
      </c>
      <c r="J126" s="478">
        <f t="shared" si="22"/>
        <v>0</v>
      </c>
      <c r="K126" s="478"/>
      <c r="L126" s="487"/>
      <c r="M126" s="478">
        <f t="shared" si="33"/>
        <v>0</v>
      </c>
      <c r="N126" s="487"/>
      <c r="O126" s="478">
        <f t="shared" si="23"/>
        <v>0</v>
      </c>
      <c r="P126" s="478">
        <f t="shared" si="24"/>
        <v>0</v>
      </c>
    </row>
    <row r="127" spans="2:16">
      <c r="B127" s="160" t="str">
        <f t="shared" si="21"/>
        <v/>
      </c>
      <c r="C127" s="472">
        <f>IF(D93="","-",+C126+1)</f>
        <v>2042</v>
      </c>
      <c r="D127" s="347">
        <f>IF(F126+SUM(E$99:E126)=D$92,F126,D$92-SUM(E$99:E126))</f>
        <v>611639</v>
      </c>
      <c r="E127" s="484">
        <f t="shared" si="28"/>
        <v>42089</v>
      </c>
      <c r="F127" s="485">
        <f t="shared" si="29"/>
        <v>569550</v>
      </c>
      <c r="G127" s="485">
        <f t="shared" si="30"/>
        <v>590594.5</v>
      </c>
      <c r="H127" s="486">
        <f t="shared" si="31"/>
        <v>109294.39770402086</v>
      </c>
      <c r="I127" s="542">
        <f t="shared" si="32"/>
        <v>109294.39770402086</v>
      </c>
      <c r="J127" s="478">
        <f t="shared" si="22"/>
        <v>0</v>
      </c>
      <c r="K127" s="478"/>
      <c r="L127" s="487"/>
      <c r="M127" s="478">
        <f t="shared" si="33"/>
        <v>0</v>
      </c>
      <c r="N127" s="487"/>
      <c r="O127" s="478">
        <f t="shared" si="23"/>
        <v>0</v>
      </c>
      <c r="P127" s="478">
        <f t="shared" si="24"/>
        <v>0</v>
      </c>
    </row>
    <row r="128" spans="2:16">
      <c r="B128" s="160" t="str">
        <f t="shared" si="21"/>
        <v/>
      </c>
      <c r="C128" s="472">
        <f>IF(D93="","-",+C127+1)</f>
        <v>2043</v>
      </c>
      <c r="D128" s="347">
        <f>IF(F127+SUM(E$99:E127)=D$92,F127,D$92-SUM(E$99:E127))</f>
        <v>569550</v>
      </c>
      <c r="E128" s="484">
        <f t="shared" si="28"/>
        <v>42089</v>
      </c>
      <c r="F128" s="485">
        <f t="shared" si="29"/>
        <v>527461</v>
      </c>
      <c r="G128" s="485">
        <f t="shared" si="30"/>
        <v>548505.5</v>
      </c>
      <c r="H128" s="486">
        <f t="shared" si="31"/>
        <v>104504.97283811957</v>
      </c>
      <c r="I128" s="542">
        <f t="shared" si="32"/>
        <v>104504.97283811957</v>
      </c>
      <c r="J128" s="478">
        <f t="shared" si="22"/>
        <v>0</v>
      </c>
      <c r="K128" s="478"/>
      <c r="L128" s="487"/>
      <c r="M128" s="478">
        <f t="shared" si="33"/>
        <v>0</v>
      </c>
      <c r="N128" s="487"/>
      <c r="O128" s="478">
        <f t="shared" si="23"/>
        <v>0</v>
      </c>
      <c r="P128" s="478">
        <f t="shared" si="24"/>
        <v>0</v>
      </c>
    </row>
    <row r="129" spans="2:16">
      <c r="B129" s="160" t="str">
        <f t="shared" si="21"/>
        <v/>
      </c>
      <c r="C129" s="472">
        <f>IF(D93="","-",+C128+1)</f>
        <v>2044</v>
      </c>
      <c r="D129" s="347">
        <f>IF(F128+SUM(E$99:E128)=D$92,F128,D$92-SUM(E$99:E128))</f>
        <v>527461</v>
      </c>
      <c r="E129" s="484">
        <f t="shared" si="28"/>
        <v>42089</v>
      </c>
      <c r="F129" s="485">
        <f t="shared" si="29"/>
        <v>485372</v>
      </c>
      <c r="G129" s="485">
        <f t="shared" si="30"/>
        <v>506416.5</v>
      </c>
      <c r="H129" s="486">
        <f t="shared" si="31"/>
        <v>99715.547972218294</v>
      </c>
      <c r="I129" s="542">
        <f t="shared" si="32"/>
        <v>99715.547972218294</v>
      </c>
      <c r="J129" s="478">
        <f t="shared" si="22"/>
        <v>0</v>
      </c>
      <c r="K129" s="478"/>
      <c r="L129" s="487"/>
      <c r="M129" s="478">
        <f t="shared" si="33"/>
        <v>0</v>
      </c>
      <c r="N129" s="487"/>
      <c r="O129" s="478">
        <f t="shared" si="23"/>
        <v>0</v>
      </c>
      <c r="P129" s="478">
        <f t="shared" si="24"/>
        <v>0</v>
      </c>
    </row>
    <row r="130" spans="2:16">
      <c r="B130" s="160" t="str">
        <f t="shared" si="21"/>
        <v/>
      </c>
      <c r="C130" s="472">
        <f>IF(D93="","-",+C129+1)</f>
        <v>2045</v>
      </c>
      <c r="D130" s="347">
        <f>IF(F129+SUM(E$99:E129)=D$92,F129,D$92-SUM(E$99:E129))</f>
        <v>485372</v>
      </c>
      <c r="E130" s="484">
        <f t="shared" si="28"/>
        <v>42089</v>
      </c>
      <c r="F130" s="485">
        <f t="shared" si="29"/>
        <v>443283</v>
      </c>
      <c r="G130" s="485">
        <f t="shared" si="30"/>
        <v>464327.5</v>
      </c>
      <c r="H130" s="486">
        <f t="shared" si="31"/>
        <v>94926.123106317013</v>
      </c>
      <c r="I130" s="542">
        <f t="shared" si="32"/>
        <v>94926.123106317013</v>
      </c>
      <c r="J130" s="478">
        <f t="shared" si="22"/>
        <v>0</v>
      </c>
      <c r="K130" s="478"/>
      <c r="L130" s="487"/>
      <c r="M130" s="478">
        <f t="shared" si="33"/>
        <v>0</v>
      </c>
      <c r="N130" s="487"/>
      <c r="O130" s="478">
        <f t="shared" si="23"/>
        <v>0</v>
      </c>
      <c r="P130" s="478">
        <f t="shared" si="24"/>
        <v>0</v>
      </c>
    </row>
    <row r="131" spans="2:16">
      <c r="B131" s="160" t="str">
        <f t="shared" si="21"/>
        <v/>
      </c>
      <c r="C131" s="472">
        <f>IF(D93="","-",+C130+1)</f>
        <v>2046</v>
      </c>
      <c r="D131" s="347">
        <f>IF(F130+SUM(E$99:E130)=D$92,F130,D$92-SUM(E$99:E130))</f>
        <v>443283</v>
      </c>
      <c r="E131" s="484">
        <f t="shared" si="28"/>
        <v>42089</v>
      </c>
      <c r="F131" s="485">
        <f t="shared" si="29"/>
        <v>401194</v>
      </c>
      <c r="G131" s="485">
        <f t="shared" si="30"/>
        <v>422238.5</v>
      </c>
      <c r="H131" s="486">
        <f t="shared" si="31"/>
        <v>90136.698240415732</v>
      </c>
      <c r="I131" s="542">
        <f t="shared" si="32"/>
        <v>90136.698240415732</v>
      </c>
      <c r="J131" s="478">
        <f t="shared" si="22"/>
        <v>0</v>
      </c>
      <c r="K131" s="478"/>
      <c r="L131" s="487"/>
      <c r="M131" s="478">
        <f t="shared" ref="M131:M154" si="34">IF(L541&lt;&gt;0,+H541-L541,0)</f>
        <v>0</v>
      </c>
      <c r="N131" s="487"/>
      <c r="O131" s="478">
        <f t="shared" ref="O131:O154" si="35">IF(N541&lt;&gt;0,+I541-N541,0)</f>
        <v>0</v>
      </c>
      <c r="P131" s="478">
        <f t="shared" ref="P131:P154" si="36">+O541-M541</f>
        <v>0</v>
      </c>
    </row>
    <row r="132" spans="2:16">
      <c r="B132" s="160" t="str">
        <f t="shared" si="21"/>
        <v/>
      </c>
      <c r="C132" s="472">
        <f>IF(D93="","-",+C131+1)</f>
        <v>2047</v>
      </c>
      <c r="D132" s="347">
        <f>IF(F131+SUM(E$99:E131)=D$92,F131,D$92-SUM(E$99:E131))</f>
        <v>401194</v>
      </c>
      <c r="E132" s="484">
        <f t="shared" si="28"/>
        <v>42089</v>
      </c>
      <c r="F132" s="485">
        <f t="shared" si="29"/>
        <v>359105</v>
      </c>
      <c r="G132" s="485">
        <f t="shared" si="30"/>
        <v>380149.5</v>
      </c>
      <c r="H132" s="486">
        <f t="shared" si="31"/>
        <v>85347.273374514451</v>
      </c>
      <c r="I132" s="542">
        <f t="shared" si="32"/>
        <v>85347.273374514451</v>
      </c>
      <c r="J132" s="478">
        <f t="shared" si="22"/>
        <v>0</v>
      </c>
      <c r="K132" s="478"/>
      <c r="L132" s="487"/>
      <c r="M132" s="478">
        <f t="shared" si="34"/>
        <v>0</v>
      </c>
      <c r="N132" s="487"/>
      <c r="O132" s="478">
        <f t="shared" si="35"/>
        <v>0</v>
      </c>
      <c r="P132" s="478">
        <f t="shared" si="36"/>
        <v>0</v>
      </c>
    </row>
    <row r="133" spans="2:16">
      <c r="B133" s="160" t="str">
        <f t="shared" si="21"/>
        <v/>
      </c>
      <c r="C133" s="472">
        <f>IF(D93="","-",+C132+1)</f>
        <v>2048</v>
      </c>
      <c r="D133" s="347">
        <f>IF(F132+SUM(E$99:E132)=D$92,F132,D$92-SUM(E$99:E132))</f>
        <v>359105</v>
      </c>
      <c r="E133" s="484">
        <f t="shared" si="28"/>
        <v>42089</v>
      </c>
      <c r="F133" s="485">
        <f t="shared" si="29"/>
        <v>317016</v>
      </c>
      <c r="G133" s="485">
        <f t="shared" si="30"/>
        <v>338060.5</v>
      </c>
      <c r="H133" s="486">
        <f t="shared" si="31"/>
        <v>80557.84850861317</v>
      </c>
      <c r="I133" s="542">
        <f t="shared" si="32"/>
        <v>80557.84850861317</v>
      </c>
      <c r="J133" s="478">
        <f t="shared" si="22"/>
        <v>0</v>
      </c>
      <c r="K133" s="478"/>
      <c r="L133" s="487"/>
      <c r="M133" s="478">
        <f t="shared" si="34"/>
        <v>0</v>
      </c>
      <c r="N133" s="487"/>
      <c r="O133" s="478">
        <f t="shared" si="35"/>
        <v>0</v>
      </c>
      <c r="P133" s="478">
        <f t="shared" si="36"/>
        <v>0</v>
      </c>
    </row>
    <row r="134" spans="2:16">
      <c r="B134" s="160" t="str">
        <f t="shared" si="21"/>
        <v/>
      </c>
      <c r="C134" s="472">
        <f>IF(D93="","-",+C133+1)</f>
        <v>2049</v>
      </c>
      <c r="D134" s="347">
        <f>IF(F133+SUM(E$99:E133)=D$92,F133,D$92-SUM(E$99:E133))</f>
        <v>317016</v>
      </c>
      <c r="E134" s="484">
        <f t="shared" si="28"/>
        <v>42089</v>
      </c>
      <c r="F134" s="485">
        <f t="shared" si="29"/>
        <v>274927</v>
      </c>
      <c r="G134" s="485">
        <f t="shared" si="30"/>
        <v>295971.5</v>
      </c>
      <c r="H134" s="486">
        <f t="shared" si="31"/>
        <v>75768.423642711889</v>
      </c>
      <c r="I134" s="542">
        <f t="shared" si="32"/>
        <v>75768.423642711889</v>
      </c>
      <c r="J134" s="478">
        <f t="shared" si="22"/>
        <v>0</v>
      </c>
      <c r="K134" s="478"/>
      <c r="L134" s="487"/>
      <c r="M134" s="478">
        <f t="shared" si="34"/>
        <v>0</v>
      </c>
      <c r="N134" s="487"/>
      <c r="O134" s="478">
        <f t="shared" si="35"/>
        <v>0</v>
      </c>
      <c r="P134" s="478">
        <f t="shared" si="36"/>
        <v>0</v>
      </c>
    </row>
    <row r="135" spans="2:16">
      <c r="B135" s="160" t="str">
        <f t="shared" si="21"/>
        <v/>
      </c>
      <c r="C135" s="472">
        <f>IF(D93="","-",+C134+1)</f>
        <v>2050</v>
      </c>
      <c r="D135" s="347">
        <f>IF(F134+SUM(E$99:E134)=D$92,F134,D$92-SUM(E$99:E134))</f>
        <v>274927</v>
      </c>
      <c r="E135" s="484">
        <f t="shared" si="28"/>
        <v>42089</v>
      </c>
      <c r="F135" s="485">
        <f t="shared" si="29"/>
        <v>232838</v>
      </c>
      <c r="G135" s="485">
        <f t="shared" si="30"/>
        <v>253882.5</v>
      </c>
      <c r="H135" s="486">
        <f t="shared" si="31"/>
        <v>70978.998776810608</v>
      </c>
      <c r="I135" s="542">
        <f t="shared" si="32"/>
        <v>70978.998776810608</v>
      </c>
      <c r="J135" s="478">
        <f t="shared" si="22"/>
        <v>0</v>
      </c>
      <c r="K135" s="478"/>
      <c r="L135" s="487"/>
      <c r="M135" s="478">
        <f t="shared" si="34"/>
        <v>0</v>
      </c>
      <c r="N135" s="487"/>
      <c r="O135" s="478">
        <f t="shared" si="35"/>
        <v>0</v>
      </c>
      <c r="P135" s="478">
        <f t="shared" si="36"/>
        <v>0</v>
      </c>
    </row>
    <row r="136" spans="2:16">
      <c r="B136" s="160" t="str">
        <f t="shared" si="21"/>
        <v/>
      </c>
      <c r="C136" s="472">
        <f>IF(D93="","-",+C135+1)</f>
        <v>2051</v>
      </c>
      <c r="D136" s="347">
        <f>IF(F135+SUM(E$99:E135)=D$92,F135,D$92-SUM(E$99:E135))</f>
        <v>232838</v>
      </c>
      <c r="E136" s="484">
        <f t="shared" si="28"/>
        <v>42089</v>
      </c>
      <c r="F136" s="485">
        <f t="shared" si="29"/>
        <v>190749</v>
      </c>
      <c r="G136" s="485">
        <f t="shared" si="30"/>
        <v>211793.5</v>
      </c>
      <c r="H136" s="486">
        <f t="shared" si="31"/>
        <v>66189.573910909327</v>
      </c>
      <c r="I136" s="542">
        <f t="shared" si="32"/>
        <v>66189.573910909327</v>
      </c>
      <c r="J136" s="478">
        <f t="shared" si="22"/>
        <v>0</v>
      </c>
      <c r="K136" s="478"/>
      <c r="L136" s="487"/>
      <c r="M136" s="478">
        <f t="shared" si="34"/>
        <v>0</v>
      </c>
      <c r="N136" s="487"/>
      <c r="O136" s="478">
        <f t="shared" si="35"/>
        <v>0</v>
      </c>
      <c r="P136" s="478">
        <f t="shared" si="36"/>
        <v>0</v>
      </c>
    </row>
    <row r="137" spans="2:16">
      <c r="B137" s="160" t="str">
        <f t="shared" si="21"/>
        <v/>
      </c>
      <c r="C137" s="472">
        <f>IF(D93="","-",+C136+1)</f>
        <v>2052</v>
      </c>
      <c r="D137" s="347">
        <f>IF(F136+SUM(E$99:E136)=D$92,F136,D$92-SUM(E$99:E136))</f>
        <v>190749</v>
      </c>
      <c r="E137" s="484">
        <f t="shared" si="28"/>
        <v>42089</v>
      </c>
      <c r="F137" s="485">
        <f t="shared" si="29"/>
        <v>148660</v>
      </c>
      <c r="G137" s="485">
        <f t="shared" si="30"/>
        <v>169704.5</v>
      </c>
      <c r="H137" s="486">
        <f t="shared" si="31"/>
        <v>61400.149045008046</v>
      </c>
      <c r="I137" s="542">
        <f t="shared" si="32"/>
        <v>61400.149045008046</v>
      </c>
      <c r="J137" s="478">
        <f t="shared" si="22"/>
        <v>0</v>
      </c>
      <c r="K137" s="478"/>
      <c r="L137" s="487"/>
      <c r="M137" s="478">
        <f t="shared" si="34"/>
        <v>0</v>
      </c>
      <c r="N137" s="487"/>
      <c r="O137" s="478">
        <f t="shared" si="35"/>
        <v>0</v>
      </c>
      <c r="P137" s="478">
        <f t="shared" si="36"/>
        <v>0</v>
      </c>
    </row>
    <row r="138" spans="2:16">
      <c r="B138" s="160" t="str">
        <f t="shared" si="21"/>
        <v/>
      </c>
      <c r="C138" s="472">
        <f>IF(D93="","-",+C137+1)</f>
        <v>2053</v>
      </c>
      <c r="D138" s="347">
        <f>IF(F137+SUM(E$99:E137)=D$92,F137,D$92-SUM(E$99:E137))</f>
        <v>148660</v>
      </c>
      <c r="E138" s="484">
        <f t="shared" si="28"/>
        <v>42089</v>
      </c>
      <c r="F138" s="485">
        <f t="shared" si="29"/>
        <v>106571</v>
      </c>
      <c r="G138" s="485">
        <f t="shared" si="30"/>
        <v>127615.5</v>
      </c>
      <c r="H138" s="486">
        <f t="shared" si="31"/>
        <v>56610.724179106772</v>
      </c>
      <c r="I138" s="542">
        <f t="shared" si="32"/>
        <v>56610.724179106772</v>
      </c>
      <c r="J138" s="478">
        <f t="shared" si="22"/>
        <v>0</v>
      </c>
      <c r="K138" s="478"/>
      <c r="L138" s="487"/>
      <c r="M138" s="478">
        <f t="shared" si="34"/>
        <v>0</v>
      </c>
      <c r="N138" s="487"/>
      <c r="O138" s="478">
        <f t="shared" si="35"/>
        <v>0</v>
      </c>
      <c r="P138" s="478">
        <f t="shared" si="36"/>
        <v>0</v>
      </c>
    </row>
    <row r="139" spans="2:16">
      <c r="B139" s="160" t="str">
        <f t="shared" si="21"/>
        <v/>
      </c>
      <c r="C139" s="472">
        <f>IF(D93="","-",+C138+1)</f>
        <v>2054</v>
      </c>
      <c r="D139" s="347">
        <f>IF(F138+SUM(E$99:E138)=D$92,F138,D$92-SUM(E$99:E138))</f>
        <v>106571</v>
      </c>
      <c r="E139" s="484">
        <f t="shared" si="28"/>
        <v>42089</v>
      </c>
      <c r="F139" s="485">
        <f t="shared" si="29"/>
        <v>64482</v>
      </c>
      <c r="G139" s="485">
        <f t="shared" si="30"/>
        <v>85526.5</v>
      </c>
      <c r="H139" s="486">
        <f t="shared" si="31"/>
        <v>51821.299313205491</v>
      </c>
      <c r="I139" s="542">
        <f t="shared" si="32"/>
        <v>51821.299313205491</v>
      </c>
      <c r="J139" s="478">
        <f t="shared" si="22"/>
        <v>0</v>
      </c>
      <c r="K139" s="478"/>
      <c r="L139" s="487"/>
      <c r="M139" s="478">
        <f t="shared" si="34"/>
        <v>0</v>
      </c>
      <c r="N139" s="487"/>
      <c r="O139" s="478">
        <f t="shared" si="35"/>
        <v>0</v>
      </c>
      <c r="P139" s="478">
        <f t="shared" si="36"/>
        <v>0</v>
      </c>
    </row>
    <row r="140" spans="2:16">
      <c r="B140" s="160" t="str">
        <f t="shared" si="21"/>
        <v/>
      </c>
      <c r="C140" s="472">
        <f>IF(D93="","-",+C139+1)</f>
        <v>2055</v>
      </c>
      <c r="D140" s="347">
        <f>IF(F139+SUM(E$99:E139)=D$92,F139,D$92-SUM(E$99:E139))</f>
        <v>64482</v>
      </c>
      <c r="E140" s="484">
        <f t="shared" si="28"/>
        <v>42089</v>
      </c>
      <c r="F140" s="485">
        <f t="shared" si="29"/>
        <v>22393</v>
      </c>
      <c r="G140" s="485">
        <f t="shared" si="30"/>
        <v>43437.5</v>
      </c>
      <c r="H140" s="486">
        <f t="shared" si="31"/>
        <v>47031.87444730421</v>
      </c>
      <c r="I140" s="542">
        <f t="shared" si="32"/>
        <v>47031.87444730421</v>
      </c>
      <c r="J140" s="478">
        <f t="shared" si="22"/>
        <v>0</v>
      </c>
      <c r="K140" s="478"/>
      <c r="L140" s="487"/>
      <c r="M140" s="478">
        <f t="shared" si="34"/>
        <v>0</v>
      </c>
      <c r="N140" s="487"/>
      <c r="O140" s="478">
        <f t="shared" si="35"/>
        <v>0</v>
      </c>
      <c r="P140" s="478">
        <f t="shared" si="36"/>
        <v>0</v>
      </c>
    </row>
    <row r="141" spans="2:16">
      <c r="B141" s="160" t="str">
        <f t="shared" si="21"/>
        <v/>
      </c>
      <c r="C141" s="472">
        <f>IF(D93="","-",+C140+1)</f>
        <v>2056</v>
      </c>
      <c r="D141" s="347">
        <f>IF(F140+SUM(E$99:E140)=D$92,F140,D$92-SUM(E$99:E140))</f>
        <v>22393</v>
      </c>
      <c r="E141" s="484">
        <f t="shared" si="28"/>
        <v>22393</v>
      </c>
      <c r="F141" s="485">
        <f t="shared" si="29"/>
        <v>0</v>
      </c>
      <c r="G141" s="485">
        <f t="shared" si="30"/>
        <v>11196.5</v>
      </c>
      <c r="H141" s="486">
        <f t="shared" si="31"/>
        <v>23667.081007176785</v>
      </c>
      <c r="I141" s="542">
        <f t="shared" si="32"/>
        <v>23667.081007176785</v>
      </c>
      <c r="J141" s="478">
        <f t="shared" si="22"/>
        <v>0</v>
      </c>
      <c r="K141" s="478"/>
      <c r="L141" s="487"/>
      <c r="M141" s="478">
        <f t="shared" si="34"/>
        <v>0</v>
      </c>
      <c r="N141" s="487"/>
      <c r="O141" s="478">
        <f t="shared" si="35"/>
        <v>0</v>
      </c>
      <c r="P141" s="478">
        <f t="shared" si="36"/>
        <v>0</v>
      </c>
    </row>
    <row r="142" spans="2:16">
      <c r="B142" s="160" t="str">
        <f t="shared" si="21"/>
        <v/>
      </c>
      <c r="C142" s="472">
        <f>IF(D93="","-",+C141+1)</f>
        <v>2057</v>
      </c>
      <c r="D142" s="347">
        <f>IF(F141+SUM(E$99:E141)=D$92,F141,D$92-SUM(E$99:E141))</f>
        <v>0</v>
      </c>
      <c r="E142" s="484">
        <f t="shared" si="28"/>
        <v>0</v>
      </c>
      <c r="F142" s="485">
        <f t="shared" si="29"/>
        <v>0</v>
      </c>
      <c r="G142" s="485">
        <f t="shared" si="30"/>
        <v>0</v>
      </c>
      <c r="H142" s="486">
        <f t="shared" si="31"/>
        <v>0</v>
      </c>
      <c r="I142" s="542">
        <f t="shared" si="32"/>
        <v>0</v>
      </c>
      <c r="J142" s="478">
        <f t="shared" si="22"/>
        <v>0</v>
      </c>
      <c r="K142" s="478"/>
      <c r="L142" s="487"/>
      <c r="M142" s="478">
        <f t="shared" si="34"/>
        <v>0</v>
      </c>
      <c r="N142" s="487"/>
      <c r="O142" s="478">
        <f t="shared" si="35"/>
        <v>0</v>
      </c>
      <c r="P142" s="478">
        <f t="shared" si="36"/>
        <v>0</v>
      </c>
    </row>
    <row r="143" spans="2:16">
      <c r="B143" s="160" t="str">
        <f t="shared" si="21"/>
        <v/>
      </c>
      <c r="C143" s="472">
        <f>IF(D93="","-",+C142+1)</f>
        <v>2058</v>
      </c>
      <c r="D143" s="347">
        <f>IF(F142+SUM(E$99:E142)=D$92,F142,D$92-SUM(E$99:E142))</f>
        <v>0</v>
      </c>
      <c r="E143" s="484">
        <f t="shared" si="28"/>
        <v>0</v>
      </c>
      <c r="F143" s="485">
        <f t="shared" si="29"/>
        <v>0</v>
      </c>
      <c r="G143" s="485">
        <f t="shared" si="30"/>
        <v>0</v>
      </c>
      <c r="H143" s="486">
        <f t="shared" si="31"/>
        <v>0</v>
      </c>
      <c r="I143" s="542">
        <f t="shared" si="32"/>
        <v>0</v>
      </c>
      <c r="J143" s="478">
        <f t="shared" si="22"/>
        <v>0</v>
      </c>
      <c r="K143" s="478"/>
      <c r="L143" s="487"/>
      <c r="M143" s="478">
        <f t="shared" si="34"/>
        <v>0</v>
      </c>
      <c r="N143" s="487"/>
      <c r="O143" s="478">
        <f t="shared" si="35"/>
        <v>0</v>
      </c>
      <c r="P143" s="478">
        <f t="shared" si="36"/>
        <v>0</v>
      </c>
    </row>
    <row r="144" spans="2:16">
      <c r="B144" s="160" t="str">
        <f t="shared" si="21"/>
        <v/>
      </c>
      <c r="C144" s="472">
        <f>IF(D93="","-",+C143+1)</f>
        <v>2059</v>
      </c>
      <c r="D144" s="347">
        <f>IF(F143+SUM(E$99:E143)=D$92,F143,D$92-SUM(E$99:E143))</f>
        <v>0</v>
      </c>
      <c r="E144" s="484">
        <f t="shared" si="28"/>
        <v>0</v>
      </c>
      <c r="F144" s="485">
        <f t="shared" si="29"/>
        <v>0</v>
      </c>
      <c r="G144" s="485">
        <f t="shared" si="30"/>
        <v>0</v>
      </c>
      <c r="H144" s="486">
        <f t="shared" si="31"/>
        <v>0</v>
      </c>
      <c r="I144" s="542">
        <f t="shared" si="32"/>
        <v>0</v>
      </c>
      <c r="J144" s="478">
        <f t="shared" si="22"/>
        <v>0</v>
      </c>
      <c r="K144" s="478"/>
      <c r="L144" s="487"/>
      <c r="M144" s="478">
        <f t="shared" si="34"/>
        <v>0</v>
      </c>
      <c r="N144" s="487"/>
      <c r="O144" s="478">
        <f t="shared" si="35"/>
        <v>0</v>
      </c>
      <c r="P144" s="478">
        <f t="shared" si="36"/>
        <v>0</v>
      </c>
    </row>
    <row r="145" spans="2:16">
      <c r="B145" s="160" t="str">
        <f t="shared" si="21"/>
        <v/>
      </c>
      <c r="C145" s="472">
        <f>IF(D93="","-",+C144+1)</f>
        <v>2060</v>
      </c>
      <c r="D145" s="347">
        <f>IF(F144+SUM(E$99:E144)=D$92,F144,D$92-SUM(E$99:E144))</f>
        <v>0</v>
      </c>
      <c r="E145" s="484">
        <f t="shared" si="28"/>
        <v>0</v>
      </c>
      <c r="F145" s="485">
        <f t="shared" si="29"/>
        <v>0</v>
      </c>
      <c r="G145" s="485">
        <f t="shared" si="30"/>
        <v>0</v>
      </c>
      <c r="H145" s="486">
        <f t="shared" si="31"/>
        <v>0</v>
      </c>
      <c r="I145" s="542">
        <f t="shared" si="32"/>
        <v>0</v>
      </c>
      <c r="J145" s="478">
        <f t="shared" si="22"/>
        <v>0</v>
      </c>
      <c r="K145" s="478"/>
      <c r="L145" s="487"/>
      <c r="M145" s="478">
        <f t="shared" si="34"/>
        <v>0</v>
      </c>
      <c r="N145" s="487"/>
      <c r="O145" s="478">
        <f t="shared" si="35"/>
        <v>0</v>
      </c>
      <c r="P145" s="478">
        <f t="shared" si="36"/>
        <v>0</v>
      </c>
    </row>
    <row r="146" spans="2:16">
      <c r="B146" s="160" t="str">
        <f t="shared" si="21"/>
        <v/>
      </c>
      <c r="C146" s="472">
        <f>IF(D93="","-",+C145+1)</f>
        <v>2061</v>
      </c>
      <c r="D146" s="347">
        <f>IF(F145+SUM(E$99:E145)=D$92,F145,D$92-SUM(E$99:E145))</f>
        <v>0</v>
      </c>
      <c r="E146" s="484">
        <f t="shared" si="28"/>
        <v>0</v>
      </c>
      <c r="F146" s="485">
        <f t="shared" si="29"/>
        <v>0</v>
      </c>
      <c r="G146" s="485">
        <f t="shared" si="30"/>
        <v>0</v>
      </c>
      <c r="H146" s="486">
        <f t="shared" si="31"/>
        <v>0</v>
      </c>
      <c r="I146" s="542">
        <f t="shared" si="32"/>
        <v>0</v>
      </c>
      <c r="J146" s="478">
        <f t="shared" si="22"/>
        <v>0</v>
      </c>
      <c r="K146" s="478"/>
      <c r="L146" s="487"/>
      <c r="M146" s="478">
        <f t="shared" si="34"/>
        <v>0</v>
      </c>
      <c r="N146" s="487"/>
      <c r="O146" s="478">
        <f t="shared" si="35"/>
        <v>0</v>
      </c>
      <c r="P146" s="478">
        <f t="shared" si="36"/>
        <v>0</v>
      </c>
    </row>
    <row r="147" spans="2:16">
      <c r="B147" s="160" t="str">
        <f t="shared" si="21"/>
        <v/>
      </c>
      <c r="C147" s="472">
        <f>IF(D93="","-",+C146+1)</f>
        <v>2062</v>
      </c>
      <c r="D147" s="347">
        <f>IF(F146+SUM(E$99:E146)=D$92,F146,D$92-SUM(E$99:E146))</f>
        <v>0</v>
      </c>
      <c r="E147" s="484">
        <f t="shared" si="28"/>
        <v>0</v>
      </c>
      <c r="F147" s="485">
        <f t="shared" si="29"/>
        <v>0</v>
      </c>
      <c r="G147" s="485">
        <f t="shared" si="30"/>
        <v>0</v>
      </c>
      <c r="H147" s="486">
        <f t="shared" si="31"/>
        <v>0</v>
      </c>
      <c r="I147" s="542">
        <f t="shared" si="32"/>
        <v>0</v>
      </c>
      <c r="J147" s="478">
        <f t="shared" si="22"/>
        <v>0</v>
      </c>
      <c r="K147" s="478"/>
      <c r="L147" s="487"/>
      <c r="M147" s="478">
        <f t="shared" si="34"/>
        <v>0</v>
      </c>
      <c r="N147" s="487"/>
      <c r="O147" s="478">
        <f t="shared" si="35"/>
        <v>0</v>
      </c>
      <c r="P147" s="478">
        <f t="shared" si="36"/>
        <v>0</v>
      </c>
    </row>
    <row r="148" spans="2:16">
      <c r="B148" s="160" t="str">
        <f t="shared" si="21"/>
        <v/>
      </c>
      <c r="C148" s="472">
        <f>IF(D93="","-",+C147+1)</f>
        <v>2063</v>
      </c>
      <c r="D148" s="347">
        <f>IF(F147+SUM(E$99:E147)=D$92,F147,D$92-SUM(E$99:E147))</f>
        <v>0</v>
      </c>
      <c r="E148" s="484">
        <f t="shared" si="28"/>
        <v>0</v>
      </c>
      <c r="F148" s="485">
        <f t="shared" si="29"/>
        <v>0</v>
      </c>
      <c r="G148" s="485">
        <f t="shared" si="30"/>
        <v>0</v>
      </c>
      <c r="H148" s="486">
        <f t="shared" si="31"/>
        <v>0</v>
      </c>
      <c r="I148" s="542">
        <f t="shared" si="32"/>
        <v>0</v>
      </c>
      <c r="J148" s="478">
        <f t="shared" si="22"/>
        <v>0</v>
      </c>
      <c r="K148" s="478"/>
      <c r="L148" s="487"/>
      <c r="M148" s="478">
        <f t="shared" si="34"/>
        <v>0</v>
      </c>
      <c r="N148" s="487"/>
      <c r="O148" s="478">
        <f t="shared" si="35"/>
        <v>0</v>
      </c>
      <c r="P148" s="478">
        <f t="shared" si="36"/>
        <v>0</v>
      </c>
    </row>
    <row r="149" spans="2:16">
      <c r="B149" s="160" t="str">
        <f t="shared" si="21"/>
        <v/>
      </c>
      <c r="C149" s="472">
        <f>IF(D93="","-",+C148+1)</f>
        <v>2064</v>
      </c>
      <c r="D149" s="347">
        <f>IF(F148+SUM(E$99:E148)=D$92,F148,D$92-SUM(E$99:E148))</f>
        <v>0</v>
      </c>
      <c r="E149" s="484">
        <f t="shared" si="28"/>
        <v>0</v>
      </c>
      <c r="F149" s="485">
        <f t="shared" si="29"/>
        <v>0</v>
      </c>
      <c r="G149" s="485">
        <f t="shared" si="30"/>
        <v>0</v>
      </c>
      <c r="H149" s="486">
        <f t="shared" si="31"/>
        <v>0</v>
      </c>
      <c r="I149" s="542">
        <f t="shared" si="32"/>
        <v>0</v>
      </c>
      <c r="J149" s="478">
        <f t="shared" si="22"/>
        <v>0</v>
      </c>
      <c r="K149" s="478"/>
      <c r="L149" s="487"/>
      <c r="M149" s="478">
        <f t="shared" si="34"/>
        <v>0</v>
      </c>
      <c r="N149" s="487"/>
      <c r="O149" s="478">
        <f t="shared" si="35"/>
        <v>0</v>
      </c>
      <c r="P149" s="478">
        <f t="shared" si="36"/>
        <v>0</v>
      </c>
    </row>
    <row r="150" spans="2:16">
      <c r="B150" s="160" t="str">
        <f t="shared" si="21"/>
        <v/>
      </c>
      <c r="C150" s="472">
        <f>IF(D93="","-",+C149+1)</f>
        <v>2065</v>
      </c>
      <c r="D150" s="347">
        <f>IF(F149+SUM(E$99:E149)=D$92,F149,D$92-SUM(E$99:E149))</f>
        <v>0</v>
      </c>
      <c r="E150" s="484">
        <f t="shared" si="28"/>
        <v>0</v>
      </c>
      <c r="F150" s="485">
        <f t="shared" si="29"/>
        <v>0</v>
      </c>
      <c r="G150" s="485">
        <f t="shared" si="30"/>
        <v>0</v>
      </c>
      <c r="H150" s="486">
        <f t="shared" si="31"/>
        <v>0</v>
      </c>
      <c r="I150" s="542">
        <f t="shared" si="32"/>
        <v>0</v>
      </c>
      <c r="J150" s="478">
        <f t="shared" si="22"/>
        <v>0</v>
      </c>
      <c r="K150" s="478"/>
      <c r="L150" s="487"/>
      <c r="M150" s="478">
        <f t="shared" si="34"/>
        <v>0</v>
      </c>
      <c r="N150" s="487"/>
      <c r="O150" s="478">
        <f t="shared" si="35"/>
        <v>0</v>
      </c>
      <c r="P150" s="478">
        <f t="shared" si="36"/>
        <v>0</v>
      </c>
    </row>
    <row r="151" spans="2:16">
      <c r="B151" s="160" t="str">
        <f t="shared" si="21"/>
        <v/>
      </c>
      <c r="C151" s="472">
        <f>IF(D93="","-",+C150+1)</f>
        <v>2066</v>
      </c>
      <c r="D151" s="347">
        <f>IF(F150+SUM(E$99:E150)=D$92,F150,D$92-SUM(E$99:E150))</f>
        <v>0</v>
      </c>
      <c r="E151" s="484">
        <f t="shared" si="28"/>
        <v>0</v>
      </c>
      <c r="F151" s="485">
        <f t="shared" si="29"/>
        <v>0</v>
      </c>
      <c r="G151" s="485">
        <f t="shared" si="30"/>
        <v>0</v>
      </c>
      <c r="H151" s="486">
        <f t="shared" si="31"/>
        <v>0</v>
      </c>
      <c r="I151" s="542">
        <f t="shared" si="32"/>
        <v>0</v>
      </c>
      <c r="J151" s="478">
        <f t="shared" si="22"/>
        <v>0</v>
      </c>
      <c r="K151" s="478"/>
      <c r="L151" s="487"/>
      <c r="M151" s="478">
        <f t="shared" si="34"/>
        <v>0</v>
      </c>
      <c r="N151" s="487"/>
      <c r="O151" s="478">
        <f t="shared" si="35"/>
        <v>0</v>
      </c>
      <c r="P151" s="478">
        <f t="shared" si="36"/>
        <v>0</v>
      </c>
    </row>
    <row r="152" spans="2:16">
      <c r="B152" s="160" t="str">
        <f t="shared" si="21"/>
        <v/>
      </c>
      <c r="C152" s="472">
        <f>IF(D93="","-",+C151+1)</f>
        <v>2067</v>
      </c>
      <c r="D152" s="347">
        <f>IF(F151+SUM(E$99:E151)=D$92,F151,D$92-SUM(E$99:E151))</f>
        <v>0</v>
      </c>
      <c r="E152" s="484">
        <f t="shared" si="28"/>
        <v>0</v>
      </c>
      <c r="F152" s="485">
        <f t="shared" si="29"/>
        <v>0</v>
      </c>
      <c r="G152" s="485">
        <f t="shared" si="30"/>
        <v>0</v>
      </c>
      <c r="H152" s="486">
        <f t="shared" si="31"/>
        <v>0</v>
      </c>
      <c r="I152" s="542">
        <f t="shared" si="32"/>
        <v>0</v>
      </c>
      <c r="J152" s="478">
        <f t="shared" si="22"/>
        <v>0</v>
      </c>
      <c r="K152" s="478"/>
      <c r="L152" s="487"/>
      <c r="M152" s="478">
        <f t="shared" si="34"/>
        <v>0</v>
      </c>
      <c r="N152" s="487"/>
      <c r="O152" s="478">
        <f t="shared" si="35"/>
        <v>0</v>
      </c>
      <c r="P152" s="478">
        <f t="shared" si="36"/>
        <v>0</v>
      </c>
    </row>
    <row r="153" spans="2:16">
      <c r="B153" s="160" t="str">
        <f t="shared" si="21"/>
        <v/>
      </c>
      <c r="C153" s="472">
        <f>IF(D93="","-",+C152+1)</f>
        <v>2068</v>
      </c>
      <c r="D153" s="347">
        <f>IF(F152+SUM(E$99:E152)=D$92,F152,D$92-SUM(E$99:E152))</f>
        <v>0</v>
      </c>
      <c r="E153" s="484">
        <f t="shared" si="28"/>
        <v>0</v>
      </c>
      <c r="F153" s="485">
        <f t="shared" si="29"/>
        <v>0</v>
      </c>
      <c r="G153" s="485">
        <f t="shared" si="30"/>
        <v>0</v>
      </c>
      <c r="H153" s="486">
        <f t="shared" si="31"/>
        <v>0</v>
      </c>
      <c r="I153" s="542">
        <f t="shared" si="32"/>
        <v>0</v>
      </c>
      <c r="J153" s="478">
        <f t="shared" si="22"/>
        <v>0</v>
      </c>
      <c r="K153" s="478"/>
      <c r="L153" s="487"/>
      <c r="M153" s="478">
        <f t="shared" si="34"/>
        <v>0</v>
      </c>
      <c r="N153" s="487"/>
      <c r="O153" s="478">
        <f t="shared" si="35"/>
        <v>0</v>
      </c>
      <c r="P153" s="478">
        <f t="shared" si="36"/>
        <v>0</v>
      </c>
    </row>
    <row r="154" spans="2:16" ht="13.5" thickBot="1">
      <c r="B154" s="160" t="str">
        <f t="shared" si="21"/>
        <v/>
      </c>
      <c r="C154" s="489">
        <f>IF(D93="","-",+C153+1)</f>
        <v>2069</v>
      </c>
      <c r="D154" s="576">
        <f>IF(F153+SUM(E$99:E153)=D$92,F153,D$92-SUM(E$99:E153))</f>
        <v>0</v>
      </c>
      <c r="E154" s="491">
        <f t="shared" si="28"/>
        <v>0</v>
      </c>
      <c r="F154" s="490">
        <f t="shared" si="29"/>
        <v>0</v>
      </c>
      <c r="G154" s="490">
        <f t="shared" si="30"/>
        <v>0</v>
      </c>
      <c r="H154" s="492">
        <f t="shared" ref="H154" si="37">+J$94*G154+E154</f>
        <v>0</v>
      </c>
      <c r="I154" s="545">
        <f t="shared" ref="I154" si="38">+J$95*G154+E154</f>
        <v>0</v>
      </c>
      <c r="J154" s="495">
        <f t="shared" si="22"/>
        <v>0</v>
      </c>
      <c r="K154" s="478"/>
      <c r="L154" s="494"/>
      <c r="M154" s="495">
        <f t="shared" si="34"/>
        <v>0</v>
      </c>
      <c r="N154" s="494"/>
      <c r="O154" s="495">
        <f t="shared" si="35"/>
        <v>0</v>
      </c>
      <c r="P154" s="495">
        <f t="shared" si="36"/>
        <v>0</v>
      </c>
    </row>
    <row r="155" spans="2:16">
      <c r="C155" s="347" t="s">
        <v>77</v>
      </c>
      <c r="D155" s="348"/>
      <c r="E155" s="348">
        <f>SUM(E99:E154)</f>
        <v>1725647</v>
      </c>
      <c r="F155" s="348"/>
      <c r="G155" s="348"/>
      <c r="H155" s="348">
        <f>SUM(H99:H154)</f>
        <v>5899884.7013681857</v>
      </c>
      <c r="I155" s="348">
        <f>SUM(I99:I154)</f>
        <v>5899884.7013681857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25" priority="1" stopIfTrue="1" operator="equal">
      <formula>$I$10</formula>
    </cfRule>
  </conditionalFormatting>
  <conditionalFormatting sqref="C99:C154">
    <cfRule type="cellIs" dxfId="2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68"/>
  <dimension ref="A1:P162"/>
  <sheetViews>
    <sheetView zoomScaleNormal="100" zoomScaleSheetLayoutView="78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19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161222.32913848371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161222.32913848371</v>
      </c>
      <c r="O6" s="233"/>
      <c r="P6" s="233"/>
    </row>
    <row r="7" spans="1:16" ht="13.5" thickBot="1">
      <c r="C7" s="431" t="s">
        <v>46</v>
      </c>
      <c r="D7" s="599" t="s">
        <v>281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296</v>
      </c>
      <c r="E9" s="577" t="s">
        <v>297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1338978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2017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3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31139.023255813954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2017</v>
      </c>
      <c r="D17" s="584">
        <v>0</v>
      </c>
      <c r="E17" s="608">
        <v>21831.16304347826</v>
      </c>
      <c r="F17" s="584">
        <v>1317146.8369565217</v>
      </c>
      <c r="G17" s="608">
        <v>105641.6474528401</v>
      </c>
      <c r="H17" s="587">
        <v>105641.6474528401</v>
      </c>
      <c r="I17" s="475">
        <f t="shared" ref="I17:I72" si="0">H17-G17</f>
        <v>0</v>
      </c>
      <c r="J17" s="475"/>
      <c r="K17" s="477">
        <f>+G17</f>
        <v>105641.6474528401</v>
      </c>
      <c r="L17" s="477">
        <f t="shared" ref="L17:L72" si="1">IF(K17&lt;&gt;0,+G17-K17,0)</f>
        <v>0</v>
      </c>
      <c r="M17" s="477">
        <f>+H17</f>
        <v>105641.6474528401</v>
      </c>
      <c r="N17" s="477">
        <f t="shared" ref="N17:N72" si="2">IF(M17&lt;&gt;0,+H17-M17,0)</f>
        <v>0</v>
      </c>
      <c r="O17" s="478">
        <f t="shared" ref="O17:O72" si="3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2018</v>
      </c>
      <c r="D18" s="584">
        <v>1317146.8369565217</v>
      </c>
      <c r="E18" s="585">
        <v>29755.066666666666</v>
      </c>
      <c r="F18" s="584">
        <v>1287391.7702898551</v>
      </c>
      <c r="G18" s="585">
        <v>205998.2169756256</v>
      </c>
      <c r="H18" s="587">
        <v>205998.2169756256</v>
      </c>
      <c r="I18" s="475">
        <f t="shared" si="0"/>
        <v>0</v>
      </c>
      <c r="J18" s="475"/>
      <c r="K18" s="478">
        <f>+G18</f>
        <v>205998.2169756256</v>
      </c>
      <c r="L18" s="478">
        <f t="shared" si="1"/>
        <v>0</v>
      </c>
      <c r="M18" s="478">
        <f>+H18</f>
        <v>205998.2169756256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/>
      </c>
      <c r="C19" s="472">
        <f>IF(D11="","-",+C18+1)</f>
        <v>2019</v>
      </c>
      <c r="D19" s="584">
        <v>1287391.7702898551</v>
      </c>
      <c r="E19" s="585">
        <v>29755.066666666666</v>
      </c>
      <c r="F19" s="584">
        <v>1257636.7036231884</v>
      </c>
      <c r="G19" s="585">
        <v>201971.30282476899</v>
      </c>
      <c r="H19" s="587">
        <v>201971.30282476899</v>
      </c>
      <c r="I19" s="475">
        <f t="shared" si="0"/>
        <v>0</v>
      </c>
      <c r="J19" s="475"/>
      <c r="K19" s="478">
        <f>+G19</f>
        <v>201971.30282476899</v>
      </c>
      <c r="L19" s="478">
        <f t="shared" ref="L19" si="4">IF(K19&lt;&gt;0,+G19-K19,0)</f>
        <v>0</v>
      </c>
      <c r="M19" s="478">
        <f>+H19</f>
        <v>201971.30282476899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5">IF(D20=F19,"","IU")</f>
        <v/>
      </c>
      <c r="C20" s="472">
        <f>IF(D11="","-",+C19+1)</f>
        <v>2020</v>
      </c>
      <c r="D20" s="584">
        <v>1257636.7036231884</v>
      </c>
      <c r="E20" s="585">
        <v>31880.428571428572</v>
      </c>
      <c r="F20" s="584">
        <v>1225756.2750517598</v>
      </c>
      <c r="G20" s="585">
        <v>165989.58089219453</v>
      </c>
      <c r="H20" s="587">
        <v>165989.58089219453</v>
      </c>
      <c r="I20" s="475">
        <f t="shared" si="0"/>
        <v>0</v>
      </c>
      <c r="J20" s="475"/>
      <c r="K20" s="478">
        <f>+G20</f>
        <v>165989.58089219453</v>
      </c>
      <c r="L20" s="478">
        <f t="shared" ref="L20" si="6">IF(K20&lt;&gt;0,+G20-K20,0)</f>
        <v>0</v>
      </c>
      <c r="M20" s="478">
        <f>+H20</f>
        <v>165989.58089219453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5"/>
        <v>IU</v>
      </c>
      <c r="C21" s="472">
        <f>IF(D11="","-",+C20+1)</f>
        <v>2021</v>
      </c>
      <c r="D21" s="483">
        <v>1222036.8917184265</v>
      </c>
      <c r="E21" s="484">
        <v>31139.023255813954</v>
      </c>
      <c r="F21" s="485">
        <v>1190897.8684626126</v>
      </c>
      <c r="G21" s="486">
        <v>161222.32913848371</v>
      </c>
      <c r="H21" s="455">
        <v>161222.32913848371</v>
      </c>
      <c r="I21" s="475">
        <f t="shared" si="0"/>
        <v>0</v>
      </c>
      <c r="J21" s="475"/>
      <c r="K21" s="478">
        <f>+G21</f>
        <v>161222.32913848371</v>
      </c>
      <c r="L21" s="478">
        <f t="shared" ref="L21" si="7">IF(K21&lt;&gt;0,+G21-K21,0)</f>
        <v>0</v>
      </c>
      <c r="M21" s="478">
        <f>+H21</f>
        <v>161222.32913848371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si="5"/>
        <v>IU</v>
      </c>
      <c r="C22" s="472">
        <f>IF(D11="","-",+C21+1)</f>
        <v>2022</v>
      </c>
      <c r="D22" s="483">
        <f>IF(F21+SUM(E$17:E21)=D$10,F21,D$10-SUM(E$17:E21))</f>
        <v>1194617.2517959459</v>
      </c>
      <c r="E22" s="484">
        <f t="shared" ref="E22:E72" si="8">IF(+I$14&lt;F21,I$14,D22)</f>
        <v>31139.023255813954</v>
      </c>
      <c r="F22" s="485">
        <f t="shared" ref="F22:F72" si="9">+D22-E22</f>
        <v>1163478.2285401321</v>
      </c>
      <c r="G22" s="486">
        <f t="shared" ref="G22:G72" si="10">(D22+F22)/2*I$12+E22</f>
        <v>166795.93533238245</v>
      </c>
      <c r="H22" s="455">
        <f t="shared" ref="H22:H72" si="11">+(D22+F22)/2*I$13+E22</f>
        <v>166795.93533238245</v>
      </c>
      <c r="I22" s="475">
        <f t="shared" si="0"/>
        <v>0</v>
      </c>
      <c r="J22" s="475"/>
      <c r="K22" s="487"/>
      <c r="L22" s="478">
        <f t="shared" si="1"/>
        <v>0</v>
      </c>
      <c r="M22" s="487"/>
      <c r="N22" s="478">
        <f t="shared" si="2"/>
        <v>0</v>
      </c>
      <c r="O22" s="478">
        <f t="shared" si="3"/>
        <v>0</v>
      </c>
      <c r="P22" s="243"/>
    </row>
    <row r="23" spans="2:16">
      <c r="B23" s="160" t="str">
        <f t="shared" si="5"/>
        <v/>
      </c>
      <c r="C23" s="472">
        <f>IF(D11="","-",+C22+1)</f>
        <v>2023</v>
      </c>
      <c r="D23" s="483">
        <f>IF(F22+SUM(E$17:E22)=D$10,F22,D$10-SUM(E$17:E22))</f>
        <v>1163478.2285401321</v>
      </c>
      <c r="E23" s="484">
        <f t="shared" si="8"/>
        <v>31139.023255813954</v>
      </c>
      <c r="F23" s="485">
        <f t="shared" si="9"/>
        <v>1132339.2052843182</v>
      </c>
      <c r="G23" s="486">
        <f t="shared" si="10"/>
        <v>163213.19343309166</v>
      </c>
      <c r="H23" s="455">
        <f t="shared" si="11"/>
        <v>163213.19343309166</v>
      </c>
      <c r="I23" s="475">
        <f t="shared" si="0"/>
        <v>0</v>
      </c>
      <c r="J23" s="475"/>
      <c r="K23" s="487"/>
      <c r="L23" s="478">
        <f t="shared" si="1"/>
        <v>0</v>
      </c>
      <c r="M23" s="487"/>
      <c r="N23" s="478">
        <f t="shared" si="2"/>
        <v>0</v>
      </c>
      <c r="O23" s="478">
        <f t="shared" si="3"/>
        <v>0</v>
      </c>
      <c r="P23" s="243"/>
    </row>
    <row r="24" spans="2:16">
      <c r="B24" s="160" t="str">
        <f t="shared" si="5"/>
        <v/>
      </c>
      <c r="C24" s="472">
        <f>IF(D11="","-",+C23+1)</f>
        <v>2024</v>
      </c>
      <c r="D24" s="483">
        <f>IF(F23+SUM(E$17:E23)=D$10,F23,D$10-SUM(E$17:E23))</f>
        <v>1132339.2052843182</v>
      </c>
      <c r="E24" s="484">
        <f t="shared" si="8"/>
        <v>31139.023255813954</v>
      </c>
      <c r="F24" s="485">
        <f t="shared" si="9"/>
        <v>1101200.1820285043</v>
      </c>
      <c r="G24" s="486">
        <f t="shared" si="10"/>
        <v>159630.45153380086</v>
      </c>
      <c r="H24" s="455">
        <f t="shared" si="11"/>
        <v>159630.45153380086</v>
      </c>
      <c r="I24" s="475">
        <f t="shared" si="0"/>
        <v>0</v>
      </c>
      <c r="J24" s="475"/>
      <c r="K24" s="487"/>
      <c r="L24" s="478">
        <f t="shared" si="1"/>
        <v>0</v>
      </c>
      <c r="M24" s="487"/>
      <c r="N24" s="478">
        <f t="shared" si="2"/>
        <v>0</v>
      </c>
      <c r="O24" s="478">
        <f t="shared" si="3"/>
        <v>0</v>
      </c>
      <c r="P24" s="243"/>
    </row>
    <row r="25" spans="2:16">
      <c r="B25" s="160" t="str">
        <f t="shared" si="5"/>
        <v/>
      </c>
      <c r="C25" s="472">
        <f>IF(D11="","-",+C24+1)</f>
        <v>2025</v>
      </c>
      <c r="D25" s="483">
        <f>IF(F24+SUM(E$17:E24)=D$10,F24,D$10-SUM(E$17:E24))</f>
        <v>1101200.1820285043</v>
      </c>
      <c r="E25" s="484">
        <f t="shared" si="8"/>
        <v>31139.023255813954</v>
      </c>
      <c r="F25" s="485">
        <f t="shared" si="9"/>
        <v>1070061.1587726905</v>
      </c>
      <c r="G25" s="486">
        <f t="shared" si="10"/>
        <v>156047.70963451007</v>
      </c>
      <c r="H25" s="455">
        <f t="shared" si="11"/>
        <v>156047.70963451007</v>
      </c>
      <c r="I25" s="475">
        <f t="shared" si="0"/>
        <v>0</v>
      </c>
      <c r="J25" s="475"/>
      <c r="K25" s="487"/>
      <c r="L25" s="478">
        <f t="shared" si="1"/>
        <v>0</v>
      </c>
      <c r="M25" s="487"/>
      <c r="N25" s="478">
        <f t="shared" si="2"/>
        <v>0</v>
      </c>
      <c r="O25" s="478">
        <f t="shared" si="3"/>
        <v>0</v>
      </c>
      <c r="P25" s="243"/>
    </row>
    <row r="26" spans="2:16">
      <c r="B26" s="160" t="str">
        <f t="shared" si="5"/>
        <v/>
      </c>
      <c r="C26" s="472">
        <f>IF(D11="","-",+C25+1)</f>
        <v>2026</v>
      </c>
      <c r="D26" s="483">
        <f>IF(F25+SUM(E$17:E25)=D$10,F25,D$10-SUM(E$17:E25))</f>
        <v>1070061.1587726905</v>
      </c>
      <c r="E26" s="484">
        <f t="shared" si="8"/>
        <v>31139.023255813954</v>
      </c>
      <c r="F26" s="485">
        <f t="shared" si="9"/>
        <v>1038922.1355168765</v>
      </c>
      <c r="G26" s="486">
        <f t="shared" si="10"/>
        <v>152464.96773521928</v>
      </c>
      <c r="H26" s="455">
        <f t="shared" si="11"/>
        <v>152464.96773521928</v>
      </c>
      <c r="I26" s="475">
        <f t="shared" si="0"/>
        <v>0</v>
      </c>
      <c r="J26" s="475"/>
      <c r="K26" s="487"/>
      <c r="L26" s="478">
        <f t="shared" si="1"/>
        <v>0</v>
      </c>
      <c r="M26" s="487"/>
      <c r="N26" s="478">
        <f t="shared" si="2"/>
        <v>0</v>
      </c>
      <c r="O26" s="478">
        <f t="shared" si="3"/>
        <v>0</v>
      </c>
      <c r="P26" s="243"/>
    </row>
    <row r="27" spans="2:16">
      <c r="B27" s="160" t="str">
        <f t="shared" si="5"/>
        <v/>
      </c>
      <c r="C27" s="472">
        <f>IF(D11="","-",+C26+1)</f>
        <v>2027</v>
      </c>
      <c r="D27" s="483">
        <f>IF(F26+SUM(E$17:E26)=D$10,F26,D$10-SUM(E$17:E26))</f>
        <v>1038922.1355168765</v>
      </c>
      <c r="E27" s="484">
        <f t="shared" si="8"/>
        <v>31139.023255813954</v>
      </c>
      <c r="F27" s="485">
        <f t="shared" si="9"/>
        <v>1007783.1122610625</v>
      </c>
      <c r="G27" s="486">
        <f t="shared" si="10"/>
        <v>148882.22583592846</v>
      </c>
      <c r="H27" s="455">
        <f t="shared" si="11"/>
        <v>148882.22583592846</v>
      </c>
      <c r="I27" s="475">
        <f t="shared" si="0"/>
        <v>0</v>
      </c>
      <c r="J27" s="475"/>
      <c r="K27" s="487"/>
      <c r="L27" s="478">
        <f t="shared" si="1"/>
        <v>0</v>
      </c>
      <c r="M27" s="487"/>
      <c r="N27" s="478">
        <f t="shared" si="2"/>
        <v>0</v>
      </c>
      <c r="O27" s="478">
        <f t="shared" si="3"/>
        <v>0</v>
      </c>
      <c r="P27" s="243"/>
    </row>
    <row r="28" spans="2:16">
      <c r="B28" s="160" t="str">
        <f t="shared" si="5"/>
        <v/>
      </c>
      <c r="C28" s="472">
        <f>IF(D11="","-",+C27+1)</f>
        <v>2028</v>
      </c>
      <c r="D28" s="483">
        <f>IF(F27+SUM(E$17:E27)=D$10,F27,D$10-SUM(E$17:E27))</f>
        <v>1007783.1122610625</v>
      </c>
      <c r="E28" s="484">
        <f t="shared" si="8"/>
        <v>31139.023255813954</v>
      </c>
      <c r="F28" s="485">
        <f t="shared" si="9"/>
        <v>976644.0890052485</v>
      </c>
      <c r="G28" s="486">
        <f t="shared" si="10"/>
        <v>145299.48393663764</v>
      </c>
      <c r="H28" s="455">
        <f t="shared" si="11"/>
        <v>145299.48393663764</v>
      </c>
      <c r="I28" s="475">
        <f t="shared" si="0"/>
        <v>0</v>
      </c>
      <c r="J28" s="475"/>
      <c r="K28" s="487"/>
      <c r="L28" s="478">
        <f t="shared" si="1"/>
        <v>0</v>
      </c>
      <c r="M28" s="487"/>
      <c r="N28" s="478">
        <f t="shared" si="2"/>
        <v>0</v>
      </c>
      <c r="O28" s="478">
        <f t="shared" si="3"/>
        <v>0</v>
      </c>
      <c r="P28" s="243"/>
    </row>
    <row r="29" spans="2:16">
      <c r="B29" s="160" t="str">
        <f t="shared" si="5"/>
        <v/>
      </c>
      <c r="C29" s="472">
        <f>IF(D11="","-",+C28+1)</f>
        <v>2029</v>
      </c>
      <c r="D29" s="483">
        <f>IF(F28+SUM(E$17:E28)=D$10,F28,D$10-SUM(E$17:E28))</f>
        <v>976644.0890052485</v>
      </c>
      <c r="E29" s="484">
        <f t="shared" si="8"/>
        <v>31139.023255813954</v>
      </c>
      <c r="F29" s="485">
        <f t="shared" si="9"/>
        <v>945505.06574943452</v>
      </c>
      <c r="G29" s="486">
        <f t="shared" si="10"/>
        <v>141716.74203734682</v>
      </c>
      <c r="H29" s="455">
        <f t="shared" si="11"/>
        <v>141716.74203734682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3"/>
    </row>
    <row r="30" spans="2:16">
      <c r="B30" s="160" t="str">
        <f t="shared" si="5"/>
        <v/>
      </c>
      <c r="C30" s="472">
        <f>IF(D11="","-",+C29+1)</f>
        <v>2030</v>
      </c>
      <c r="D30" s="483">
        <f>IF(F29+SUM(E$17:E29)=D$10,F29,D$10-SUM(E$17:E29))</f>
        <v>945505.06574943452</v>
      </c>
      <c r="E30" s="484">
        <f t="shared" si="8"/>
        <v>31139.023255813954</v>
      </c>
      <c r="F30" s="485">
        <f t="shared" si="9"/>
        <v>914366.04249362054</v>
      </c>
      <c r="G30" s="486">
        <f t="shared" si="10"/>
        <v>138134.000138056</v>
      </c>
      <c r="H30" s="455">
        <f t="shared" si="11"/>
        <v>138134.000138056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5"/>
        <v/>
      </c>
      <c r="C31" s="472">
        <f>IF(D11="","-",+C30+1)</f>
        <v>2031</v>
      </c>
      <c r="D31" s="483">
        <f>IF(F30+SUM(E$17:E30)=D$10,F30,D$10-SUM(E$17:E30))</f>
        <v>914366.04249362054</v>
      </c>
      <c r="E31" s="484">
        <f t="shared" si="8"/>
        <v>31139.023255813954</v>
      </c>
      <c r="F31" s="485">
        <f t="shared" si="9"/>
        <v>883227.01923780655</v>
      </c>
      <c r="G31" s="486">
        <f t="shared" si="10"/>
        <v>134551.25823876518</v>
      </c>
      <c r="H31" s="455">
        <f t="shared" si="11"/>
        <v>134551.25823876518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5"/>
        <v/>
      </c>
      <c r="C32" s="472">
        <f>IF(D11="","-",+C31+1)</f>
        <v>2032</v>
      </c>
      <c r="D32" s="483">
        <f>IF(F31+SUM(E$17:E31)=D$10,F31,D$10-SUM(E$17:E31))</f>
        <v>883227.01923780655</v>
      </c>
      <c r="E32" s="484">
        <f t="shared" si="8"/>
        <v>31139.023255813954</v>
      </c>
      <c r="F32" s="485">
        <f t="shared" si="9"/>
        <v>852087.99598199257</v>
      </c>
      <c r="G32" s="486">
        <f t="shared" si="10"/>
        <v>130968.5163394744</v>
      </c>
      <c r="H32" s="455">
        <f t="shared" si="11"/>
        <v>130968.5163394744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5"/>
        <v/>
      </c>
      <c r="C33" s="472">
        <f>IF(D11="","-",+C32+1)</f>
        <v>2033</v>
      </c>
      <c r="D33" s="483">
        <f>IF(F32+SUM(E$17:E32)=D$10,F32,D$10-SUM(E$17:E32))</f>
        <v>852087.99598199257</v>
      </c>
      <c r="E33" s="484">
        <f t="shared" si="8"/>
        <v>31139.023255813954</v>
      </c>
      <c r="F33" s="485">
        <f t="shared" si="9"/>
        <v>820948.97272617859</v>
      </c>
      <c r="G33" s="486">
        <f t="shared" si="10"/>
        <v>127385.77444018357</v>
      </c>
      <c r="H33" s="455">
        <f t="shared" si="11"/>
        <v>127385.77444018357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5"/>
        <v/>
      </c>
      <c r="C34" s="472">
        <f>IF(D11="","-",+C33+1)</f>
        <v>2034</v>
      </c>
      <c r="D34" s="483">
        <f>IF(F33+SUM(E$17:E33)=D$10,F33,D$10-SUM(E$17:E33))</f>
        <v>820948.97272617859</v>
      </c>
      <c r="E34" s="484">
        <f t="shared" si="8"/>
        <v>31139.023255813954</v>
      </c>
      <c r="F34" s="485">
        <f t="shared" si="9"/>
        <v>789809.94947036461</v>
      </c>
      <c r="G34" s="486">
        <f t="shared" si="10"/>
        <v>123803.03254089277</v>
      </c>
      <c r="H34" s="455">
        <f t="shared" si="11"/>
        <v>123803.03254089277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5"/>
        <v/>
      </c>
      <c r="C35" s="472">
        <f>IF(D11="","-",+C34+1)</f>
        <v>2035</v>
      </c>
      <c r="D35" s="483">
        <f>IF(F34+SUM(E$17:E34)=D$10,F34,D$10-SUM(E$17:E34))</f>
        <v>789809.94947036461</v>
      </c>
      <c r="E35" s="484">
        <f t="shared" si="8"/>
        <v>31139.023255813954</v>
      </c>
      <c r="F35" s="485">
        <f t="shared" si="9"/>
        <v>758670.92621455062</v>
      </c>
      <c r="G35" s="486">
        <f t="shared" si="10"/>
        <v>120220.29064160195</v>
      </c>
      <c r="H35" s="455">
        <f t="shared" si="11"/>
        <v>120220.29064160195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5"/>
        <v/>
      </c>
      <c r="C36" s="472">
        <f>IF(D11="","-",+C35+1)</f>
        <v>2036</v>
      </c>
      <c r="D36" s="483">
        <f>IF(F35+SUM(E$17:E35)=D$10,F35,D$10-SUM(E$17:E35))</f>
        <v>758670.92621455062</v>
      </c>
      <c r="E36" s="484">
        <f t="shared" si="8"/>
        <v>31139.023255813954</v>
      </c>
      <c r="F36" s="485">
        <f t="shared" si="9"/>
        <v>727531.90295873664</v>
      </c>
      <c r="G36" s="486">
        <f t="shared" si="10"/>
        <v>116637.54874231115</v>
      </c>
      <c r="H36" s="455">
        <f t="shared" si="11"/>
        <v>116637.54874231115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5"/>
        <v/>
      </c>
      <c r="C37" s="472">
        <f>IF(D11="","-",+C36+1)</f>
        <v>2037</v>
      </c>
      <c r="D37" s="483">
        <f>IF(F36+SUM(E$17:E36)=D$10,F36,D$10-SUM(E$17:E36))</f>
        <v>727531.90295873664</v>
      </c>
      <c r="E37" s="484">
        <f t="shared" si="8"/>
        <v>31139.023255813954</v>
      </c>
      <c r="F37" s="485">
        <f t="shared" si="9"/>
        <v>696392.87970292266</v>
      </c>
      <c r="G37" s="486">
        <f t="shared" si="10"/>
        <v>113054.80684302033</v>
      </c>
      <c r="H37" s="455">
        <f t="shared" si="11"/>
        <v>113054.80684302033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5"/>
        <v/>
      </c>
      <c r="C38" s="472">
        <f>IF(D11="","-",+C37+1)</f>
        <v>2038</v>
      </c>
      <c r="D38" s="483">
        <f>IF(F37+SUM(E$17:E37)=D$10,F37,D$10-SUM(E$17:E37))</f>
        <v>696392.87970292266</v>
      </c>
      <c r="E38" s="484">
        <f t="shared" si="8"/>
        <v>31139.023255813954</v>
      </c>
      <c r="F38" s="485">
        <f t="shared" si="9"/>
        <v>665253.85644710867</v>
      </c>
      <c r="G38" s="486">
        <f t="shared" si="10"/>
        <v>109472.06494372952</v>
      </c>
      <c r="H38" s="455">
        <f t="shared" si="11"/>
        <v>109472.06494372952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5"/>
        <v/>
      </c>
      <c r="C39" s="472">
        <f>IF(D11="","-",+C38+1)</f>
        <v>2039</v>
      </c>
      <c r="D39" s="483">
        <f>IF(F38+SUM(E$17:E38)=D$10,F38,D$10-SUM(E$17:E38))</f>
        <v>665253.85644710867</v>
      </c>
      <c r="E39" s="484">
        <f t="shared" si="8"/>
        <v>31139.023255813954</v>
      </c>
      <c r="F39" s="485">
        <f t="shared" si="9"/>
        <v>634114.83319129469</v>
      </c>
      <c r="G39" s="486">
        <f t="shared" si="10"/>
        <v>105889.3230444387</v>
      </c>
      <c r="H39" s="455">
        <f t="shared" si="11"/>
        <v>105889.3230444387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5"/>
        <v/>
      </c>
      <c r="C40" s="472">
        <f>IF(D11="","-",+C39+1)</f>
        <v>2040</v>
      </c>
      <c r="D40" s="483">
        <f>IF(F39+SUM(E$17:E39)=D$10,F39,D$10-SUM(E$17:E39))</f>
        <v>634114.83319129469</v>
      </c>
      <c r="E40" s="484">
        <f t="shared" si="8"/>
        <v>31139.023255813954</v>
      </c>
      <c r="F40" s="485">
        <f t="shared" si="9"/>
        <v>602975.80993548071</v>
      </c>
      <c r="G40" s="486">
        <f t="shared" si="10"/>
        <v>102306.58114514791</v>
      </c>
      <c r="H40" s="455">
        <f t="shared" si="11"/>
        <v>102306.58114514791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5"/>
        <v/>
      </c>
      <c r="C41" s="472">
        <f>IF(D11="","-",+C40+1)</f>
        <v>2041</v>
      </c>
      <c r="D41" s="483">
        <f>IF(F40+SUM(E$17:E40)=D$10,F40,D$10-SUM(E$17:E40))</f>
        <v>602975.80993548071</v>
      </c>
      <c r="E41" s="484">
        <f t="shared" si="8"/>
        <v>31139.023255813954</v>
      </c>
      <c r="F41" s="485">
        <f t="shared" si="9"/>
        <v>571836.78667966672</v>
      </c>
      <c r="G41" s="486">
        <f t="shared" si="10"/>
        <v>98723.839245857074</v>
      </c>
      <c r="H41" s="455">
        <f t="shared" si="11"/>
        <v>98723.839245857074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5"/>
        <v/>
      </c>
      <c r="C42" s="472">
        <f>IF(D11="","-",+C41+1)</f>
        <v>2042</v>
      </c>
      <c r="D42" s="483">
        <f>IF(F41+SUM(E$17:E41)=D$10,F41,D$10-SUM(E$17:E41))</f>
        <v>571836.78667966672</v>
      </c>
      <c r="E42" s="484">
        <f t="shared" si="8"/>
        <v>31139.023255813954</v>
      </c>
      <c r="F42" s="485">
        <f t="shared" si="9"/>
        <v>540697.76342385274</v>
      </c>
      <c r="G42" s="486">
        <f t="shared" si="10"/>
        <v>95141.097346566283</v>
      </c>
      <c r="H42" s="455">
        <f t="shared" si="11"/>
        <v>95141.097346566283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5"/>
        <v/>
      </c>
      <c r="C43" s="472">
        <f>IF(D11="","-",+C42+1)</f>
        <v>2043</v>
      </c>
      <c r="D43" s="483">
        <f>IF(F42+SUM(E$17:E42)=D$10,F42,D$10-SUM(E$17:E42))</f>
        <v>540697.76342385274</v>
      </c>
      <c r="E43" s="484">
        <f t="shared" si="8"/>
        <v>31139.023255813954</v>
      </c>
      <c r="F43" s="485">
        <f t="shared" si="9"/>
        <v>509558.74016803876</v>
      </c>
      <c r="G43" s="486">
        <f t="shared" si="10"/>
        <v>91558.355447275448</v>
      </c>
      <c r="H43" s="455">
        <f t="shared" si="11"/>
        <v>91558.355447275448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5"/>
        <v/>
      </c>
      <c r="C44" s="472">
        <f>IF(D11="","-",+C43+1)</f>
        <v>2044</v>
      </c>
      <c r="D44" s="483">
        <f>IF(F43+SUM(E$17:E43)=D$10,F43,D$10-SUM(E$17:E43))</f>
        <v>509558.74016803876</v>
      </c>
      <c r="E44" s="484">
        <f t="shared" si="8"/>
        <v>31139.023255813954</v>
      </c>
      <c r="F44" s="485">
        <f t="shared" si="9"/>
        <v>478419.71691222477</v>
      </c>
      <c r="G44" s="486">
        <f t="shared" si="10"/>
        <v>87975.613547984656</v>
      </c>
      <c r="H44" s="455">
        <f t="shared" si="11"/>
        <v>87975.613547984656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5"/>
        <v/>
      </c>
      <c r="C45" s="472">
        <f>IF(D11="","-",+C44+1)</f>
        <v>2045</v>
      </c>
      <c r="D45" s="483">
        <f>IF(F44+SUM(E$17:E44)=D$10,F44,D$10-SUM(E$17:E44))</f>
        <v>478419.71691222477</v>
      </c>
      <c r="E45" s="484">
        <f t="shared" si="8"/>
        <v>31139.023255813954</v>
      </c>
      <c r="F45" s="485">
        <f t="shared" si="9"/>
        <v>447280.69365641079</v>
      </c>
      <c r="G45" s="486">
        <f t="shared" si="10"/>
        <v>84392.871648693836</v>
      </c>
      <c r="H45" s="455">
        <f t="shared" si="11"/>
        <v>84392.871648693836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5"/>
        <v/>
      </c>
      <c r="C46" s="472">
        <f>IF(D11="","-",+C45+1)</f>
        <v>2046</v>
      </c>
      <c r="D46" s="483">
        <f>IF(F45+SUM(E$17:E45)=D$10,F45,D$10-SUM(E$17:E45))</f>
        <v>447280.69365641079</v>
      </c>
      <c r="E46" s="484">
        <f t="shared" si="8"/>
        <v>31139.023255813954</v>
      </c>
      <c r="F46" s="485">
        <f t="shared" si="9"/>
        <v>416141.67040059681</v>
      </c>
      <c r="G46" s="486">
        <f t="shared" si="10"/>
        <v>80810.129749403015</v>
      </c>
      <c r="H46" s="455">
        <f t="shared" si="11"/>
        <v>80810.129749403015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5"/>
        <v/>
      </c>
      <c r="C47" s="472">
        <f>IF(D11="","-",+C46+1)</f>
        <v>2047</v>
      </c>
      <c r="D47" s="483">
        <f>IF(F46+SUM(E$17:E46)=D$10,F46,D$10-SUM(E$17:E46))</f>
        <v>416141.67040059681</v>
      </c>
      <c r="E47" s="484">
        <f t="shared" si="8"/>
        <v>31139.023255813954</v>
      </c>
      <c r="F47" s="485">
        <f t="shared" si="9"/>
        <v>385002.64714478282</v>
      </c>
      <c r="G47" s="486">
        <f t="shared" si="10"/>
        <v>77227.387850112224</v>
      </c>
      <c r="H47" s="455">
        <f t="shared" si="11"/>
        <v>77227.387850112224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5"/>
        <v/>
      </c>
      <c r="C48" s="472">
        <f>IF(D11="","-",+C47+1)</f>
        <v>2048</v>
      </c>
      <c r="D48" s="483">
        <f>IF(F47+SUM(E$17:E47)=D$10,F47,D$10-SUM(E$17:E47))</f>
        <v>385002.64714478282</v>
      </c>
      <c r="E48" s="484">
        <f t="shared" si="8"/>
        <v>31139.023255813954</v>
      </c>
      <c r="F48" s="485">
        <f t="shared" si="9"/>
        <v>353863.62388896884</v>
      </c>
      <c r="G48" s="486">
        <f t="shared" si="10"/>
        <v>73644.645950821403</v>
      </c>
      <c r="H48" s="455">
        <f t="shared" si="11"/>
        <v>73644.645950821403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5"/>
        <v/>
      </c>
      <c r="C49" s="472">
        <f>IF(D11="","-",+C48+1)</f>
        <v>2049</v>
      </c>
      <c r="D49" s="483">
        <f>IF(F48+SUM(E$17:E48)=D$10,F48,D$10-SUM(E$17:E48))</f>
        <v>353863.62388896884</v>
      </c>
      <c r="E49" s="484">
        <f t="shared" si="8"/>
        <v>31139.023255813954</v>
      </c>
      <c r="F49" s="485">
        <f t="shared" si="9"/>
        <v>322724.60063315486</v>
      </c>
      <c r="G49" s="486">
        <f t="shared" si="10"/>
        <v>70061.904051530582</v>
      </c>
      <c r="H49" s="455">
        <f t="shared" si="11"/>
        <v>70061.904051530582</v>
      </c>
      <c r="I49" s="475">
        <f t="shared" si="0"/>
        <v>0</v>
      </c>
      <c r="J49" s="475"/>
      <c r="K49" s="487"/>
      <c r="L49" s="478">
        <f t="shared" si="1"/>
        <v>0</v>
      </c>
      <c r="M49" s="487"/>
      <c r="N49" s="478">
        <f t="shared" si="2"/>
        <v>0</v>
      </c>
      <c r="O49" s="478">
        <f t="shared" si="3"/>
        <v>0</v>
      </c>
      <c r="P49" s="243"/>
    </row>
    <row r="50" spans="2:16">
      <c r="B50" s="160" t="str">
        <f t="shared" si="5"/>
        <v/>
      </c>
      <c r="C50" s="472">
        <f>IF(D11="","-",+C49+1)</f>
        <v>2050</v>
      </c>
      <c r="D50" s="483">
        <f>IF(F49+SUM(E$17:E49)=D$10,F49,D$10-SUM(E$17:E49))</f>
        <v>322724.60063315486</v>
      </c>
      <c r="E50" s="484">
        <f t="shared" si="8"/>
        <v>31139.023255813954</v>
      </c>
      <c r="F50" s="485">
        <f t="shared" si="9"/>
        <v>291585.57737734087</v>
      </c>
      <c r="G50" s="486">
        <f t="shared" si="10"/>
        <v>66479.162152239776</v>
      </c>
      <c r="H50" s="455">
        <f t="shared" si="11"/>
        <v>66479.162152239776</v>
      </c>
      <c r="I50" s="475">
        <f t="shared" si="0"/>
        <v>0</v>
      </c>
      <c r="J50" s="475"/>
      <c r="K50" s="487"/>
      <c r="L50" s="478">
        <f t="shared" si="1"/>
        <v>0</v>
      </c>
      <c r="M50" s="487"/>
      <c r="N50" s="478">
        <f t="shared" si="2"/>
        <v>0</v>
      </c>
      <c r="O50" s="478">
        <f t="shared" si="3"/>
        <v>0</v>
      </c>
      <c r="P50" s="243"/>
    </row>
    <row r="51" spans="2:16">
      <c r="B51" s="160" t="str">
        <f t="shared" si="5"/>
        <v/>
      </c>
      <c r="C51" s="472">
        <f>IF(D11="","-",+C50+1)</f>
        <v>2051</v>
      </c>
      <c r="D51" s="483">
        <f>IF(F50+SUM(E$17:E50)=D$10,F50,D$10-SUM(E$17:E50))</f>
        <v>291585.57737734087</v>
      </c>
      <c r="E51" s="484">
        <f t="shared" si="8"/>
        <v>31139.023255813954</v>
      </c>
      <c r="F51" s="485">
        <f t="shared" si="9"/>
        <v>260446.55412152692</v>
      </c>
      <c r="G51" s="486">
        <f t="shared" si="10"/>
        <v>62896.42025294897</v>
      </c>
      <c r="H51" s="455">
        <f t="shared" si="11"/>
        <v>62896.42025294897</v>
      </c>
      <c r="I51" s="475">
        <f t="shared" si="0"/>
        <v>0</v>
      </c>
      <c r="J51" s="475"/>
      <c r="K51" s="487"/>
      <c r="L51" s="478">
        <f t="shared" si="1"/>
        <v>0</v>
      </c>
      <c r="M51" s="487"/>
      <c r="N51" s="478">
        <f t="shared" si="2"/>
        <v>0</v>
      </c>
      <c r="O51" s="478">
        <f t="shared" si="3"/>
        <v>0</v>
      </c>
      <c r="P51" s="243"/>
    </row>
    <row r="52" spans="2:16">
      <c r="B52" s="160" t="str">
        <f t="shared" si="5"/>
        <v/>
      </c>
      <c r="C52" s="472">
        <f>IF(D11="","-",+C51+1)</f>
        <v>2052</v>
      </c>
      <c r="D52" s="483">
        <f>IF(F51+SUM(E$17:E51)=D$10,F51,D$10-SUM(E$17:E51))</f>
        <v>260446.55412152692</v>
      </c>
      <c r="E52" s="484">
        <f t="shared" si="8"/>
        <v>31139.023255813954</v>
      </c>
      <c r="F52" s="485">
        <f t="shared" si="9"/>
        <v>229307.53086571296</v>
      </c>
      <c r="G52" s="486">
        <f t="shared" si="10"/>
        <v>59313.678353658164</v>
      </c>
      <c r="H52" s="455">
        <f t="shared" si="11"/>
        <v>59313.678353658164</v>
      </c>
      <c r="I52" s="475">
        <f t="shared" si="0"/>
        <v>0</v>
      </c>
      <c r="J52" s="475"/>
      <c r="K52" s="487"/>
      <c r="L52" s="478">
        <f t="shared" si="1"/>
        <v>0</v>
      </c>
      <c r="M52" s="487"/>
      <c r="N52" s="478">
        <f t="shared" si="2"/>
        <v>0</v>
      </c>
      <c r="O52" s="478">
        <f t="shared" si="3"/>
        <v>0</v>
      </c>
      <c r="P52" s="243"/>
    </row>
    <row r="53" spans="2:16">
      <c r="B53" s="160" t="str">
        <f t="shared" si="5"/>
        <v/>
      </c>
      <c r="C53" s="472">
        <f>IF(D11="","-",+C52+1)</f>
        <v>2053</v>
      </c>
      <c r="D53" s="483">
        <f>IF(F52+SUM(E$17:E52)=D$10,F52,D$10-SUM(E$17:E52))</f>
        <v>229307.53086571296</v>
      </c>
      <c r="E53" s="484">
        <f t="shared" si="8"/>
        <v>31139.023255813954</v>
      </c>
      <c r="F53" s="485">
        <f t="shared" si="9"/>
        <v>198168.50760989901</v>
      </c>
      <c r="G53" s="486">
        <f t="shared" si="10"/>
        <v>55730.936454367351</v>
      </c>
      <c r="H53" s="455">
        <f t="shared" si="11"/>
        <v>55730.936454367351</v>
      </c>
      <c r="I53" s="475">
        <f t="shared" si="0"/>
        <v>0</v>
      </c>
      <c r="J53" s="475"/>
      <c r="K53" s="487"/>
      <c r="L53" s="478">
        <f t="shared" si="1"/>
        <v>0</v>
      </c>
      <c r="M53" s="487"/>
      <c r="N53" s="478">
        <f t="shared" si="2"/>
        <v>0</v>
      </c>
      <c r="O53" s="478">
        <f t="shared" si="3"/>
        <v>0</v>
      </c>
      <c r="P53" s="243"/>
    </row>
    <row r="54" spans="2:16">
      <c r="B54" s="160" t="str">
        <f t="shared" si="5"/>
        <v/>
      </c>
      <c r="C54" s="472">
        <f>IF(D11="","-",+C53+1)</f>
        <v>2054</v>
      </c>
      <c r="D54" s="483">
        <f>IF(F53+SUM(E$17:E53)=D$10,F53,D$10-SUM(E$17:E53))</f>
        <v>198168.50760989901</v>
      </c>
      <c r="E54" s="484">
        <f t="shared" si="8"/>
        <v>31139.023255813954</v>
      </c>
      <c r="F54" s="485">
        <f t="shared" si="9"/>
        <v>167029.48435408506</v>
      </c>
      <c r="G54" s="486">
        <f t="shared" si="10"/>
        <v>52148.194555076545</v>
      </c>
      <c r="H54" s="455">
        <f t="shared" si="11"/>
        <v>52148.194555076545</v>
      </c>
      <c r="I54" s="475">
        <f t="shared" si="0"/>
        <v>0</v>
      </c>
      <c r="J54" s="475"/>
      <c r="K54" s="487"/>
      <c r="L54" s="478">
        <f t="shared" si="1"/>
        <v>0</v>
      </c>
      <c r="M54" s="487"/>
      <c r="N54" s="478">
        <f t="shared" si="2"/>
        <v>0</v>
      </c>
      <c r="O54" s="478">
        <f t="shared" si="3"/>
        <v>0</v>
      </c>
      <c r="P54" s="243"/>
    </row>
    <row r="55" spans="2:16">
      <c r="B55" s="160" t="str">
        <f t="shared" si="5"/>
        <v/>
      </c>
      <c r="C55" s="472">
        <f>IF(D11="","-",+C54+1)</f>
        <v>2055</v>
      </c>
      <c r="D55" s="483">
        <f>IF(F54+SUM(E$17:E54)=D$10,F54,D$10-SUM(E$17:E54))</f>
        <v>167029.48435408506</v>
      </c>
      <c r="E55" s="484">
        <f t="shared" si="8"/>
        <v>31139.023255813954</v>
      </c>
      <c r="F55" s="485">
        <f t="shared" si="9"/>
        <v>135890.4610982711</v>
      </c>
      <c r="G55" s="486">
        <f t="shared" si="10"/>
        <v>48565.452655785732</v>
      </c>
      <c r="H55" s="455">
        <f t="shared" si="11"/>
        <v>48565.452655785732</v>
      </c>
      <c r="I55" s="475">
        <f t="shared" si="0"/>
        <v>0</v>
      </c>
      <c r="J55" s="475"/>
      <c r="K55" s="487"/>
      <c r="L55" s="478">
        <f t="shared" si="1"/>
        <v>0</v>
      </c>
      <c r="M55" s="487"/>
      <c r="N55" s="478">
        <f t="shared" si="2"/>
        <v>0</v>
      </c>
      <c r="O55" s="478">
        <f t="shared" si="3"/>
        <v>0</v>
      </c>
      <c r="P55" s="243"/>
    </row>
    <row r="56" spans="2:16">
      <c r="B56" s="160" t="str">
        <f t="shared" si="5"/>
        <v/>
      </c>
      <c r="C56" s="472">
        <f>IF(D11="","-",+C55+1)</f>
        <v>2056</v>
      </c>
      <c r="D56" s="483">
        <f>IF(F55+SUM(E$17:E55)=D$10,F55,D$10-SUM(E$17:E55))</f>
        <v>135890.4610982711</v>
      </c>
      <c r="E56" s="484">
        <f t="shared" si="8"/>
        <v>31139.023255813954</v>
      </c>
      <c r="F56" s="485">
        <f t="shared" si="9"/>
        <v>104751.43784245715</v>
      </c>
      <c r="G56" s="486">
        <f t="shared" si="10"/>
        <v>44982.710756494926</v>
      </c>
      <c r="H56" s="455">
        <f t="shared" si="11"/>
        <v>44982.710756494926</v>
      </c>
      <c r="I56" s="475">
        <f t="shared" si="0"/>
        <v>0</v>
      </c>
      <c r="J56" s="475"/>
      <c r="K56" s="487"/>
      <c r="L56" s="478">
        <f t="shared" si="1"/>
        <v>0</v>
      </c>
      <c r="M56" s="487"/>
      <c r="N56" s="478">
        <f t="shared" si="2"/>
        <v>0</v>
      </c>
      <c r="O56" s="478">
        <f t="shared" si="3"/>
        <v>0</v>
      </c>
      <c r="P56" s="243"/>
    </row>
    <row r="57" spans="2:16">
      <c r="B57" s="160" t="str">
        <f t="shared" si="5"/>
        <v/>
      </c>
      <c r="C57" s="472">
        <f>IF(D11="","-",+C56+1)</f>
        <v>2057</v>
      </c>
      <c r="D57" s="483">
        <f>IF(F56+SUM(E$17:E56)=D$10,F56,D$10-SUM(E$17:E56))</f>
        <v>104751.43784245715</v>
      </c>
      <c r="E57" s="484">
        <f t="shared" si="8"/>
        <v>31139.023255813954</v>
      </c>
      <c r="F57" s="485">
        <f t="shared" si="9"/>
        <v>73612.414586643194</v>
      </c>
      <c r="G57" s="486">
        <f t="shared" si="10"/>
        <v>41399.96885720412</v>
      </c>
      <c r="H57" s="455">
        <f t="shared" si="11"/>
        <v>41399.96885720412</v>
      </c>
      <c r="I57" s="475">
        <f t="shared" si="0"/>
        <v>0</v>
      </c>
      <c r="J57" s="475"/>
      <c r="K57" s="487"/>
      <c r="L57" s="478">
        <f t="shared" si="1"/>
        <v>0</v>
      </c>
      <c r="M57" s="487"/>
      <c r="N57" s="478">
        <f t="shared" si="2"/>
        <v>0</v>
      </c>
      <c r="O57" s="478">
        <f t="shared" si="3"/>
        <v>0</v>
      </c>
      <c r="P57" s="243"/>
    </row>
    <row r="58" spans="2:16">
      <c r="B58" s="160" t="str">
        <f t="shared" si="5"/>
        <v/>
      </c>
      <c r="C58" s="472">
        <f>IF(D11="","-",+C57+1)</f>
        <v>2058</v>
      </c>
      <c r="D58" s="483">
        <f>IF(F57+SUM(E$17:E57)=D$10,F57,D$10-SUM(E$17:E57))</f>
        <v>73612.414586643194</v>
      </c>
      <c r="E58" s="484">
        <f t="shared" si="8"/>
        <v>31139.023255813954</v>
      </c>
      <c r="F58" s="485">
        <f t="shared" si="9"/>
        <v>42473.391330829239</v>
      </c>
      <c r="G58" s="486">
        <f t="shared" si="10"/>
        <v>37817.226957913314</v>
      </c>
      <c r="H58" s="455">
        <f t="shared" si="11"/>
        <v>37817.226957913314</v>
      </c>
      <c r="I58" s="475">
        <f t="shared" si="0"/>
        <v>0</v>
      </c>
      <c r="J58" s="475"/>
      <c r="K58" s="487"/>
      <c r="L58" s="478">
        <f t="shared" si="1"/>
        <v>0</v>
      </c>
      <c r="M58" s="487"/>
      <c r="N58" s="478">
        <f t="shared" si="2"/>
        <v>0</v>
      </c>
      <c r="O58" s="478">
        <f t="shared" si="3"/>
        <v>0</v>
      </c>
      <c r="P58" s="243"/>
    </row>
    <row r="59" spans="2:16">
      <c r="B59" s="160" t="str">
        <f t="shared" si="5"/>
        <v/>
      </c>
      <c r="C59" s="472">
        <f>IF(D11="","-",+C58+1)</f>
        <v>2059</v>
      </c>
      <c r="D59" s="483">
        <f>IF(F58+SUM(E$17:E58)=D$10,F58,D$10-SUM(E$17:E58))</f>
        <v>42473.391330829239</v>
      </c>
      <c r="E59" s="484">
        <f t="shared" si="8"/>
        <v>31139.023255813954</v>
      </c>
      <c r="F59" s="485">
        <f t="shared" si="9"/>
        <v>11334.368075015285</v>
      </c>
      <c r="G59" s="486">
        <f t="shared" si="10"/>
        <v>34234.4850586225</v>
      </c>
      <c r="H59" s="455">
        <f t="shared" si="11"/>
        <v>34234.4850586225</v>
      </c>
      <c r="I59" s="475">
        <f t="shared" si="0"/>
        <v>0</v>
      </c>
      <c r="J59" s="475"/>
      <c r="K59" s="487"/>
      <c r="L59" s="478">
        <f t="shared" si="1"/>
        <v>0</v>
      </c>
      <c r="M59" s="487"/>
      <c r="N59" s="478">
        <f t="shared" si="2"/>
        <v>0</v>
      </c>
      <c r="O59" s="478">
        <f t="shared" si="3"/>
        <v>0</v>
      </c>
      <c r="P59" s="243"/>
    </row>
    <row r="60" spans="2:16">
      <c r="B60" s="160" t="str">
        <f t="shared" si="5"/>
        <v/>
      </c>
      <c r="C60" s="472">
        <f>IF(D11="","-",+C59+1)</f>
        <v>2060</v>
      </c>
      <c r="D60" s="483">
        <f>IF(F59+SUM(E$17:E59)=D$10,F59,D$10-SUM(E$17:E59))</f>
        <v>11334.368075015285</v>
      </c>
      <c r="E60" s="484">
        <f t="shared" si="8"/>
        <v>11334.368075015285</v>
      </c>
      <c r="F60" s="485">
        <f t="shared" si="9"/>
        <v>0</v>
      </c>
      <c r="G60" s="486">
        <f t="shared" si="10"/>
        <v>11986.413501596857</v>
      </c>
      <c r="H60" s="455">
        <f t="shared" si="11"/>
        <v>11986.413501596857</v>
      </c>
      <c r="I60" s="475">
        <f t="shared" si="0"/>
        <v>0</v>
      </c>
      <c r="J60" s="475"/>
      <c r="K60" s="487"/>
      <c r="L60" s="478">
        <f t="shared" si="1"/>
        <v>0</v>
      </c>
      <c r="M60" s="487"/>
      <c r="N60" s="478">
        <f t="shared" si="2"/>
        <v>0</v>
      </c>
      <c r="O60" s="478">
        <f t="shared" si="3"/>
        <v>0</v>
      </c>
      <c r="P60" s="243"/>
    </row>
    <row r="61" spans="2:16">
      <c r="B61" s="160" t="str">
        <f t="shared" si="5"/>
        <v/>
      </c>
      <c r="C61" s="472">
        <f>IF(D11="","-",+C60+1)</f>
        <v>2061</v>
      </c>
      <c r="D61" s="483">
        <f>IF(F60+SUM(E$17:E60)=D$10,F60,D$10-SUM(E$17:E60))</f>
        <v>0</v>
      </c>
      <c r="E61" s="484">
        <f t="shared" si="8"/>
        <v>0</v>
      </c>
      <c r="F61" s="485">
        <f t="shared" si="9"/>
        <v>0</v>
      </c>
      <c r="G61" s="486">
        <f t="shared" si="10"/>
        <v>0</v>
      </c>
      <c r="H61" s="455">
        <f t="shared" si="11"/>
        <v>0</v>
      </c>
      <c r="I61" s="475">
        <f t="shared" si="0"/>
        <v>0</v>
      </c>
      <c r="J61" s="475"/>
      <c r="K61" s="487"/>
      <c r="L61" s="478">
        <f t="shared" si="1"/>
        <v>0</v>
      </c>
      <c r="M61" s="487"/>
      <c r="N61" s="478">
        <f t="shared" si="2"/>
        <v>0</v>
      </c>
      <c r="O61" s="478">
        <f t="shared" si="3"/>
        <v>0</v>
      </c>
      <c r="P61" s="243"/>
    </row>
    <row r="62" spans="2:16">
      <c r="B62" s="160" t="str">
        <f t="shared" si="5"/>
        <v/>
      </c>
      <c r="C62" s="472">
        <f>IF(D11="","-",+C61+1)</f>
        <v>2062</v>
      </c>
      <c r="D62" s="483">
        <f>IF(F61+SUM(E$17:E61)=D$10,F61,D$10-SUM(E$17:E61))</f>
        <v>0</v>
      </c>
      <c r="E62" s="484">
        <f t="shared" si="8"/>
        <v>0</v>
      </c>
      <c r="F62" s="485">
        <f t="shared" si="9"/>
        <v>0</v>
      </c>
      <c r="G62" s="486">
        <f t="shared" si="10"/>
        <v>0</v>
      </c>
      <c r="H62" s="455">
        <f t="shared" si="11"/>
        <v>0</v>
      </c>
      <c r="I62" s="475">
        <f t="shared" si="0"/>
        <v>0</v>
      </c>
      <c r="J62" s="475"/>
      <c r="K62" s="487"/>
      <c r="L62" s="478">
        <f t="shared" si="1"/>
        <v>0</v>
      </c>
      <c r="M62" s="487"/>
      <c r="N62" s="478">
        <f t="shared" si="2"/>
        <v>0</v>
      </c>
      <c r="O62" s="478">
        <f t="shared" si="3"/>
        <v>0</v>
      </c>
      <c r="P62" s="243"/>
    </row>
    <row r="63" spans="2:16">
      <c r="B63" s="160" t="str">
        <f t="shared" si="5"/>
        <v/>
      </c>
      <c r="C63" s="472">
        <f>IF(D11="","-",+C62+1)</f>
        <v>2063</v>
      </c>
      <c r="D63" s="483">
        <f>IF(F62+SUM(E$17:E62)=D$10,F62,D$10-SUM(E$17:E62))</f>
        <v>0</v>
      </c>
      <c r="E63" s="484">
        <f t="shared" si="8"/>
        <v>0</v>
      </c>
      <c r="F63" s="485">
        <f t="shared" si="9"/>
        <v>0</v>
      </c>
      <c r="G63" s="486">
        <f t="shared" si="10"/>
        <v>0</v>
      </c>
      <c r="H63" s="455">
        <f t="shared" si="11"/>
        <v>0</v>
      </c>
      <c r="I63" s="475">
        <f t="shared" si="0"/>
        <v>0</v>
      </c>
      <c r="J63" s="475"/>
      <c r="K63" s="487"/>
      <c r="L63" s="478">
        <f t="shared" si="1"/>
        <v>0</v>
      </c>
      <c r="M63" s="487"/>
      <c r="N63" s="478">
        <f t="shared" si="2"/>
        <v>0</v>
      </c>
      <c r="O63" s="478">
        <f t="shared" si="3"/>
        <v>0</v>
      </c>
      <c r="P63" s="243"/>
    </row>
    <row r="64" spans="2:16">
      <c r="B64" s="160" t="str">
        <f t="shared" si="5"/>
        <v/>
      </c>
      <c r="C64" s="472">
        <f>IF(D11="","-",+C63+1)</f>
        <v>2064</v>
      </c>
      <c r="D64" s="483">
        <f>IF(F63+SUM(E$17:E63)=D$10,F63,D$10-SUM(E$17:E63))</f>
        <v>0</v>
      </c>
      <c r="E64" s="484">
        <f t="shared" si="8"/>
        <v>0</v>
      </c>
      <c r="F64" s="485">
        <f t="shared" si="9"/>
        <v>0</v>
      </c>
      <c r="G64" s="486">
        <f t="shared" si="10"/>
        <v>0</v>
      </c>
      <c r="H64" s="455">
        <f t="shared" si="11"/>
        <v>0</v>
      </c>
      <c r="I64" s="475">
        <f t="shared" si="0"/>
        <v>0</v>
      </c>
      <c r="J64" s="475"/>
      <c r="K64" s="487"/>
      <c r="L64" s="478">
        <f t="shared" si="1"/>
        <v>0</v>
      </c>
      <c r="M64" s="487"/>
      <c r="N64" s="478">
        <f t="shared" si="2"/>
        <v>0</v>
      </c>
      <c r="O64" s="478">
        <f t="shared" si="3"/>
        <v>0</v>
      </c>
      <c r="P64" s="243"/>
    </row>
    <row r="65" spans="2:16">
      <c r="B65" s="160" t="str">
        <f t="shared" si="5"/>
        <v/>
      </c>
      <c r="C65" s="472">
        <f>IF(D11="","-",+C64+1)</f>
        <v>2065</v>
      </c>
      <c r="D65" s="483">
        <f>IF(F64+SUM(E$17:E64)=D$10,F64,D$10-SUM(E$17:E64))</f>
        <v>0</v>
      </c>
      <c r="E65" s="484">
        <f t="shared" si="8"/>
        <v>0</v>
      </c>
      <c r="F65" s="485">
        <f t="shared" si="9"/>
        <v>0</v>
      </c>
      <c r="G65" s="486">
        <f t="shared" si="10"/>
        <v>0</v>
      </c>
      <c r="H65" s="455">
        <f t="shared" si="11"/>
        <v>0</v>
      </c>
      <c r="I65" s="475">
        <f t="shared" si="0"/>
        <v>0</v>
      </c>
      <c r="J65" s="475"/>
      <c r="K65" s="487"/>
      <c r="L65" s="478">
        <f t="shared" si="1"/>
        <v>0</v>
      </c>
      <c r="M65" s="487"/>
      <c r="N65" s="478">
        <f t="shared" si="2"/>
        <v>0</v>
      </c>
      <c r="O65" s="478">
        <f t="shared" si="3"/>
        <v>0</v>
      </c>
      <c r="P65" s="243"/>
    </row>
    <row r="66" spans="2:16">
      <c r="B66" s="160" t="str">
        <f t="shared" si="5"/>
        <v/>
      </c>
      <c r="C66" s="472">
        <f>IF(D11="","-",+C65+1)</f>
        <v>2066</v>
      </c>
      <c r="D66" s="483">
        <f>IF(F65+SUM(E$17:E65)=D$10,F65,D$10-SUM(E$17:E65))</f>
        <v>0</v>
      </c>
      <c r="E66" s="484">
        <f t="shared" si="8"/>
        <v>0</v>
      </c>
      <c r="F66" s="485">
        <f t="shared" si="9"/>
        <v>0</v>
      </c>
      <c r="G66" s="486">
        <f t="shared" si="10"/>
        <v>0</v>
      </c>
      <c r="H66" s="455">
        <f t="shared" si="11"/>
        <v>0</v>
      </c>
      <c r="I66" s="475">
        <f t="shared" si="0"/>
        <v>0</v>
      </c>
      <c r="J66" s="475"/>
      <c r="K66" s="487"/>
      <c r="L66" s="478">
        <f t="shared" si="1"/>
        <v>0</v>
      </c>
      <c r="M66" s="487"/>
      <c r="N66" s="478">
        <f t="shared" si="2"/>
        <v>0</v>
      </c>
      <c r="O66" s="478">
        <f t="shared" si="3"/>
        <v>0</v>
      </c>
      <c r="P66" s="243"/>
    </row>
    <row r="67" spans="2:16">
      <c r="B67" s="160" t="str">
        <f t="shared" si="5"/>
        <v/>
      </c>
      <c r="C67" s="472">
        <f>IF(D11="","-",+C66+1)</f>
        <v>2067</v>
      </c>
      <c r="D67" s="483">
        <f>IF(F66+SUM(E$17:E66)=D$10,F66,D$10-SUM(E$17:E66))</f>
        <v>0</v>
      </c>
      <c r="E67" s="484">
        <f t="shared" si="8"/>
        <v>0</v>
      </c>
      <c r="F67" s="485">
        <f t="shared" si="9"/>
        <v>0</v>
      </c>
      <c r="G67" s="486">
        <f t="shared" si="10"/>
        <v>0</v>
      </c>
      <c r="H67" s="455">
        <f t="shared" si="11"/>
        <v>0</v>
      </c>
      <c r="I67" s="475">
        <f t="shared" si="0"/>
        <v>0</v>
      </c>
      <c r="J67" s="475"/>
      <c r="K67" s="487"/>
      <c r="L67" s="478">
        <f t="shared" si="1"/>
        <v>0</v>
      </c>
      <c r="M67" s="487"/>
      <c r="N67" s="478">
        <f t="shared" si="2"/>
        <v>0</v>
      </c>
      <c r="O67" s="478">
        <f t="shared" si="3"/>
        <v>0</v>
      </c>
      <c r="P67" s="243"/>
    </row>
    <row r="68" spans="2:16">
      <c r="B68" s="160" t="str">
        <f t="shared" si="5"/>
        <v/>
      </c>
      <c r="C68" s="472">
        <f>IF(D11="","-",+C67+1)</f>
        <v>2068</v>
      </c>
      <c r="D68" s="483">
        <f>IF(F67+SUM(E$17:E67)=D$10,F67,D$10-SUM(E$17:E67))</f>
        <v>0</v>
      </c>
      <c r="E68" s="484">
        <f t="shared" si="8"/>
        <v>0</v>
      </c>
      <c r="F68" s="485">
        <f t="shared" si="9"/>
        <v>0</v>
      </c>
      <c r="G68" s="486">
        <f t="shared" si="10"/>
        <v>0</v>
      </c>
      <c r="H68" s="455">
        <f t="shared" si="11"/>
        <v>0</v>
      </c>
      <c r="I68" s="475">
        <f t="shared" si="0"/>
        <v>0</v>
      </c>
      <c r="J68" s="475"/>
      <c r="K68" s="487"/>
      <c r="L68" s="478">
        <f t="shared" si="1"/>
        <v>0</v>
      </c>
      <c r="M68" s="487"/>
      <c r="N68" s="478">
        <f t="shared" si="2"/>
        <v>0</v>
      </c>
      <c r="O68" s="478">
        <f t="shared" si="3"/>
        <v>0</v>
      </c>
      <c r="P68" s="243"/>
    </row>
    <row r="69" spans="2:16">
      <c r="B69" s="160" t="str">
        <f t="shared" si="5"/>
        <v/>
      </c>
      <c r="C69" s="472">
        <f>IF(D11="","-",+C68+1)</f>
        <v>2069</v>
      </c>
      <c r="D69" s="483">
        <f>IF(F68+SUM(E$17:E68)=D$10,F68,D$10-SUM(E$17:E68))</f>
        <v>0</v>
      </c>
      <c r="E69" s="484">
        <f t="shared" si="8"/>
        <v>0</v>
      </c>
      <c r="F69" s="485">
        <f t="shared" si="9"/>
        <v>0</v>
      </c>
      <c r="G69" s="486">
        <f t="shared" si="10"/>
        <v>0</v>
      </c>
      <c r="H69" s="455">
        <f t="shared" si="11"/>
        <v>0</v>
      </c>
      <c r="I69" s="475">
        <f t="shared" si="0"/>
        <v>0</v>
      </c>
      <c r="J69" s="475"/>
      <c r="K69" s="487"/>
      <c r="L69" s="478">
        <f t="shared" si="1"/>
        <v>0</v>
      </c>
      <c r="M69" s="487"/>
      <c r="N69" s="478">
        <f t="shared" si="2"/>
        <v>0</v>
      </c>
      <c r="O69" s="478">
        <f t="shared" si="3"/>
        <v>0</v>
      </c>
      <c r="P69" s="243"/>
    </row>
    <row r="70" spans="2:16">
      <c r="B70" s="160" t="str">
        <f t="shared" si="5"/>
        <v/>
      </c>
      <c r="C70" s="472">
        <f>IF(D11="","-",+C69+1)</f>
        <v>2070</v>
      </c>
      <c r="D70" s="483">
        <f>IF(F69+SUM(E$17:E69)=D$10,F69,D$10-SUM(E$17:E69))</f>
        <v>0</v>
      </c>
      <c r="E70" s="484">
        <f t="shared" si="8"/>
        <v>0</v>
      </c>
      <c r="F70" s="485">
        <f t="shared" si="9"/>
        <v>0</v>
      </c>
      <c r="G70" s="486">
        <f t="shared" si="10"/>
        <v>0</v>
      </c>
      <c r="H70" s="455">
        <f t="shared" si="11"/>
        <v>0</v>
      </c>
      <c r="I70" s="475">
        <f t="shared" si="0"/>
        <v>0</v>
      </c>
      <c r="J70" s="475"/>
      <c r="K70" s="487"/>
      <c r="L70" s="478">
        <f t="shared" si="1"/>
        <v>0</v>
      </c>
      <c r="M70" s="487"/>
      <c r="N70" s="478">
        <f t="shared" si="2"/>
        <v>0</v>
      </c>
      <c r="O70" s="478">
        <f t="shared" si="3"/>
        <v>0</v>
      </c>
      <c r="P70" s="243"/>
    </row>
    <row r="71" spans="2:16">
      <c r="B71" s="160" t="str">
        <f t="shared" si="5"/>
        <v/>
      </c>
      <c r="C71" s="472">
        <f>IF(D11="","-",+C70+1)</f>
        <v>2071</v>
      </c>
      <c r="D71" s="483">
        <f>IF(F70+SUM(E$17:E70)=D$10,F70,D$10-SUM(E$17:E70))</f>
        <v>0</v>
      </c>
      <c r="E71" s="484">
        <f t="shared" si="8"/>
        <v>0</v>
      </c>
      <c r="F71" s="485">
        <f t="shared" si="9"/>
        <v>0</v>
      </c>
      <c r="G71" s="486">
        <f t="shared" si="10"/>
        <v>0</v>
      </c>
      <c r="H71" s="455">
        <f t="shared" si="11"/>
        <v>0</v>
      </c>
      <c r="I71" s="475">
        <f t="shared" si="0"/>
        <v>0</v>
      </c>
      <c r="J71" s="475"/>
      <c r="K71" s="487"/>
      <c r="L71" s="478">
        <f t="shared" si="1"/>
        <v>0</v>
      </c>
      <c r="M71" s="487"/>
      <c r="N71" s="478">
        <f t="shared" si="2"/>
        <v>0</v>
      </c>
      <c r="O71" s="478">
        <f t="shared" si="3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2072</v>
      </c>
      <c r="D72" s="612">
        <f>IF(F71+SUM(E$17:E71)=D$10,F71,D$10-SUM(E$17:E71))</f>
        <v>0</v>
      </c>
      <c r="E72" s="491">
        <f t="shared" si="8"/>
        <v>0</v>
      </c>
      <c r="F72" s="490">
        <f t="shared" si="9"/>
        <v>0</v>
      </c>
      <c r="G72" s="544">
        <f t="shared" si="10"/>
        <v>0</v>
      </c>
      <c r="H72" s="435">
        <f t="shared" si="11"/>
        <v>0</v>
      </c>
      <c r="I72" s="493">
        <f t="shared" si="0"/>
        <v>0</v>
      </c>
      <c r="J72" s="475"/>
      <c r="K72" s="494"/>
      <c r="L72" s="495">
        <f t="shared" si="1"/>
        <v>0</v>
      </c>
      <c r="M72" s="494"/>
      <c r="N72" s="495">
        <f t="shared" si="2"/>
        <v>0</v>
      </c>
      <c r="O72" s="495">
        <f t="shared" si="3"/>
        <v>0</v>
      </c>
      <c r="P72" s="243"/>
    </row>
    <row r="73" spans="2:16">
      <c r="C73" s="347" t="s">
        <v>77</v>
      </c>
      <c r="D73" s="348"/>
      <c r="E73" s="348">
        <f>SUM(E17:E72)</f>
        <v>1338977.9999999995</v>
      </c>
      <c r="F73" s="348"/>
      <c r="G73" s="348">
        <f>SUM(G17:G72)</f>
        <v>4672387.4782146048</v>
      </c>
      <c r="H73" s="348">
        <f>SUM(H17:H72)</f>
        <v>4672387.4782146048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19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161222.32913848371</v>
      </c>
      <c r="N87" s="508">
        <f>IF(J92&lt;D11,0,VLOOKUP(J92,C17:O72,11))</f>
        <v>161222.32913848371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169878.68084636764</v>
      </c>
      <c r="N88" s="512">
        <f>IF(J92&lt;D11,0,VLOOKUP(J92,C99:P154,7))</f>
        <v>169878.68084636764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Valliant-NW Texarkana 345 kV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8656.3517078839359</v>
      </c>
      <c r="N89" s="517">
        <f>+N88-N87</f>
        <v>8656.3517078839359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TP2009089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f>IF(D11=I10,0,D10)</f>
        <v>1338978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3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32658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2017</v>
      </c>
      <c r="D99" s="584">
        <v>0</v>
      </c>
      <c r="E99" s="608">
        <v>21831</v>
      </c>
      <c r="F99" s="584">
        <v>1317147</v>
      </c>
      <c r="G99" s="608">
        <v>658573.5</v>
      </c>
      <c r="H99" s="587">
        <v>105372.70906867021</v>
      </c>
      <c r="I99" s="607">
        <v>105372.70906867021</v>
      </c>
      <c r="J99" s="478">
        <f t="shared" ref="J99:J130" si="12">+I99-H99</f>
        <v>0</v>
      </c>
      <c r="K99" s="478"/>
      <c r="L99" s="477">
        <f>+H99</f>
        <v>105372.70906867021</v>
      </c>
      <c r="M99" s="477">
        <f t="shared" ref="M99:M130" si="13">IF(L99&lt;&gt;0,+H99-L99,0)</f>
        <v>0</v>
      </c>
      <c r="N99" s="477">
        <f>+I99</f>
        <v>105372.70906867021</v>
      </c>
      <c r="O99" s="477">
        <f t="shared" ref="O99:O130" si="14">IF(N99&lt;&gt;0,+I99-N99,0)</f>
        <v>0</v>
      </c>
      <c r="P99" s="477">
        <f t="shared" ref="P99:P130" si="15">+O99-M99</f>
        <v>0</v>
      </c>
    </row>
    <row r="100" spans="1:16">
      <c r="B100" s="160" t="str">
        <f>IF(D100=F99,"","IU")</f>
        <v/>
      </c>
      <c r="C100" s="472">
        <f>IF(D93="","-",+C99+1)</f>
        <v>2018</v>
      </c>
      <c r="D100" s="584">
        <v>1317147</v>
      </c>
      <c r="E100" s="585">
        <v>31139</v>
      </c>
      <c r="F100" s="586">
        <v>1286008</v>
      </c>
      <c r="G100" s="586">
        <v>1301577.5</v>
      </c>
      <c r="H100" s="606">
        <v>164857.30223166285</v>
      </c>
      <c r="I100" s="607">
        <v>164857.30223166285</v>
      </c>
      <c r="J100" s="478">
        <f t="shared" si="12"/>
        <v>0</v>
      </c>
      <c r="K100" s="478"/>
      <c r="L100" s="476">
        <f>H100</f>
        <v>164857.30223166285</v>
      </c>
      <c r="M100" s="349">
        <f>IF(L100&lt;&gt;0,+H100-L100,0)</f>
        <v>0</v>
      </c>
      <c r="N100" s="476">
        <f>I100</f>
        <v>164857.30223166285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16">IF(D101=F100,"","IU")</f>
        <v/>
      </c>
      <c r="C101" s="472">
        <f>IF(D93="","-",+C100+1)</f>
        <v>2019</v>
      </c>
      <c r="D101" s="584">
        <v>1286008</v>
      </c>
      <c r="E101" s="585">
        <v>32658</v>
      </c>
      <c r="F101" s="586">
        <v>1253350</v>
      </c>
      <c r="G101" s="586">
        <v>1269679</v>
      </c>
      <c r="H101" s="606">
        <v>163579.71352002863</v>
      </c>
      <c r="I101" s="607">
        <v>163579.71352002863</v>
      </c>
      <c r="J101" s="478">
        <f t="shared" si="12"/>
        <v>0</v>
      </c>
      <c r="K101" s="478"/>
      <c r="L101" s="476">
        <f>H101</f>
        <v>163579.71352002863</v>
      </c>
      <c r="M101" s="349">
        <f>IF(L101&lt;&gt;0,+H101-L101,0)</f>
        <v>0</v>
      </c>
      <c r="N101" s="476">
        <f>I101</f>
        <v>163579.71352002863</v>
      </c>
      <c r="O101" s="478">
        <f t="shared" si="14"/>
        <v>0</v>
      </c>
      <c r="P101" s="478">
        <f t="shared" si="15"/>
        <v>0</v>
      </c>
    </row>
    <row r="102" spans="1:16">
      <c r="B102" s="160" t="str">
        <f t="shared" si="16"/>
        <v/>
      </c>
      <c r="C102" s="472">
        <f>IF(D93="","-",+C101+1)</f>
        <v>2020</v>
      </c>
      <c r="D102" s="584">
        <v>1253350</v>
      </c>
      <c r="E102" s="585">
        <v>31139</v>
      </c>
      <c r="F102" s="586">
        <v>1222211</v>
      </c>
      <c r="G102" s="586">
        <v>1237780.5</v>
      </c>
      <c r="H102" s="606">
        <v>173851.68865310939</v>
      </c>
      <c r="I102" s="607">
        <v>173851.68865310939</v>
      </c>
      <c r="J102" s="478">
        <f t="shared" si="12"/>
        <v>0</v>
      </c>
      <c r="K102" s="478"/>
      <c r="L102" s="476">
        <f>H102</f>
        <v>173851.68865310939</v>
      </c>
      <c r="M102" s="349">
        <f>IF(L102&lt;&gt;0,+H102-L102,0)</f>
        <v>0</v>
      </c>
      <c r="N102" s="476">
        <f>I102</f>
        <v>173851.68865310939</v>
      </c>
      <c r="O102" s="478">
        <f t="shared" si="14"/>
        <v>0</v>
      </c>
      <c r="P102" s="478">
        <f t="shared" si="15"/>
        <v>0</v>
      </c>
    </row>
    <row r="103" spans="1:16">
      <c r="B103" s="160" t="str">
        <f t="shared" si="16"/>
        <v/>
      </c>
      <c r="C103" s="472">
        <f>IF(D93="","-",+C102+1)</f>
        <v>2021</v>
      </c>
      <c r="D103" s="347">
        <f>IF(F102+SUM(E$99:E102)=D$92,F102,D$92-SUM(E$99:E102))</f>
        <v>1222211</v>
      </c>
      <c r="E103" s="484">
        <f t="shared" ref="E103:E154" si="17">IF(+J$96&lt;F102,J$96,D103)</f>
        <v>32658</v>
      </c>
      <c r="F103" s="485">
        <f t="shared" ref="F103:F154" si="18">+D103-E103</f>
        <v>1189553</v>
      </c>
      <c r="G103" s="485">
        <f t="shared" ref="G103:G154" si="19">+(F103+D103)/2</f>
        <v>1205882</v>
      </c>
      <c r="H103" s="486">
        <f t="shared" ref="H103:H153" si="20">(D103+F103)/2*J$94+E103</f>
        <v>169878.68084636764</v>
      </c>
      <c r="I103" s="542">
        <f t="shared" ref="I103:I153" si="21">+J$95*G103+E103</f>
        <v>169878.68084636764</v>
      </c>
      <c r="J103" s="478">
        <f t="shared" si="12"/>
        <v>0</v>
      </c>
      <c r="K103" s="478"/>
      <c r="L103" s="487"/>
      <c r="M103" s="478">
        <f t="shared" si="13"/>
        <v>0</v>
      </c>
      <c r="N103" s="487"/>
      <c r="O103" s="478">
        <f t="shared" si="14"/>
        <v>0</v>
      </c>
      <c r="P103" s="478">
        <f t="shared" si="15"/>
        <v>0</v>
      </c>
    </row>
    <row r="104" spans="1:16">
      <c r="B104" s="160" t="str">
        <f t="shared" si="16"/>
        <v/>
      </c>
      <c r="C104" s="472">
        <f>IF(D93="","-",+C103+1)</f>
        <v>2022</v>
      </c>
      <c r="D104" s="347">
        <f>IF(F103+SUM(E$99:E103)=D$92,F103,D$92-SUM(E$99:E103))</f>
        <v>1189553</v>
      </c>
      <c r="E104" s="484">
        <f t="shared" si="17"/>
        <v>32658</v>
      </c>
      <c r="F104" s="485">
        <f t="shared" si="18"/>
        <v>1156895</v>
      </c>
      <c r="G104" s="485">
        <f t="shared" si="19"/>
        <v>1173224</v>
      </c>
      <c r="H104" s="486">
        <f t="shared" si="20"/>
        <v>166162.43581154611</v>
      </c>
      <c r="I104" s="542">
        <f t="shared" si="21"/>
        <v>166162.43581154611</v>
      </c>
      <c r="J104" s="478">
        <f t="shared" si="12"/>
        <v>0</v>
      </c>
      <c r="K104" s="478"/>
      <c r="L104" s="487"/>
      <c r="M104" s="478">
        <f t="shared" si="13"/>
        <v>0</v>
      </c>
      <c r="N104" s="487"/>
      <c r="O104" s="478">
        <f t="shared" si="14"/>
        <v>0</v>
      </c>
      <c r="P104" s="478">
        <f t="shared" si="15"/>
        <v>0</v>
      </c>
    </row>
    <row r="105" spans="1:16">
      <c r="B105" s="160" t="str">
        <f t="shared" si="16"/>
        <v/>
      </c>
      <c r="C105" s="472">
        <f>IF(D93="","-",+C104+1)</f>
        <v>2023</v>
      </c>
      <c r="D105" s="347">
        <f>IF(F104+SUM(E$99:E104)=D$92,F104,D$92-SUM(E$99:E104))</f>
        <v>1156895</v>
      </c>
      <c r="E105" s="484">
        <f t="shared" si="17"/>
        <v>32658</v>
      </c>
      <c r="F105" s="485">
        <f t="shared" si="18"/>
        <v>1124237</v>
      </c>
      <c r="G105" s="485">
        <f t="shared" si="19"/>
        <v>1140566</v>
      </c>
      <c r="H105" s="486">
        <f t="shared" si="20"/>
        <v>162446.19077672454</v>
      </c>
      <c r="I105" s="542">
        <f t="shared" si="21"/>
        <v>162446.19077672454</v>
      </c>
      <c r="J105" s="478">
        <f t="shared" si="12"/>
        <v>0</v>
      </c>
      <c r="K105" s="478"/>
      <c r="L105" s="487"/>
      <c r="M105" s="478">
        <f t="shared" si="13"/>
        <v>0</v>
      </c>
      <c r="N105" s="487"/>
      <c r="O105" s="478">
        <f t="shared" si="14"/>
        <v>0</v>
      </c>
      <c r="P105" s="478">
        <f t="shared" si="15"/>
        <v>0</v>
      </c>
    </row>
    <row r="106" spans="1:16">
      <c r="B106" s="160" t="str">
        <f t="shared" si="16"/>
        <v/>
      </c>
      <c r="C106" s="472">
        <f>IF(D93="","-",+C105+1)</f>
        <v>2024</v>
      </c>
      <c r="D106" s="347">
        <f>IF(F105+SUM(E$99:E105)=D$92,F105,D$92-SUM(E$99:E105))</f>
        <v>1124237</v>
      </c>
      <c r="E106" s="484">
        <f t="shared" si="17"/>
        <v>32658</v>
      </c>
      <c r="F106" s="485">
        <f t="shared" si="18"/>
        <v>1091579</v>
      </c>
      <c r="G106" s="485">
        <f t="shared" si="19"/>
        <v>1107908</v>
      </c>
      <c r="H106" s="486">
        <f t="shared" si="20"/>
        <v>158729.94574190301</v>
      </c>
      <c r="I106" s="542">
        <f t="shared" si="21"/>
        <v>158729.94574190301</v>
      </c>
      <c r="J106" s="478">
        <f t="shared" si="12"/>
        <v>0</v>
      </c>
      <c r="K106" s="478"/>
      <c r="L106" s="487"/>
      <c r="M106" s="478">
        <f t="shared" si="13"/>
        <v>0</v>
      </c>
      <c r="N106" s="487"/>
      <c r="O106" s="478">
        <f t="shared" si="14"/>
        <v>0</v>
      </c>
      <c r="P106" s="478">
        <f t="shared" si="15"/>
        <v>0</v>
      </c>
    </row>
    <row r="107" spans="1:16">
      <c r="B107" s="160" t="str">
        <f t="shared" si="16"/>
        <v/>
      </c>
      <c r="C107" s="472">
        <f>IF(D93="","-",+C106+1)</f>
        <v>2025</v>
      </c>
      <c r="D107" s="347">
        <f>IF(F106+SUM(E$99:E106)=D$92,F106,D$92-SUM(E$99:E106))</f>
        <v>1091579</v>
      </c>
      <c r="E107" s="484">
        <f t="shared" si="17"/>
        <v>32658</v>
      </c>
      <c r="F107" s="485">
        <f t="shared" si="18"/>
        <v>1058921</v>
      </c>
      <c r="G107" s="485">
        <f t="shared" si="19"/>
        <v>1075250</v>
      </c>
      <c r="H107" s="486">
        <f t="shared" si="20"/>
        <v>155013.70070708147</v>
      </c>
      <c r="I107" s="542">
        <f t="shared" si="21"/>
        <v>155013.70070708147</v>
      </c>
      <c r="J107" s="478">
        <f t="shared" si="12"/>
        <v>0</v>
      </c>
      <c r="K107" s="478"/>
      <c r="L107" s="487"/>
      <c r="M107" s="478">
        <f t="shared" si="13"/>
        <v>0</v>
      </c>
      <c r="N107" s="487"/>
      <c r="O107" s="478">
        <f t="shared" si="14"/>
        <v>0</v>
      </c>
      <c r="P107" s="478">
        <f t="shared" si="15"/>
        <v>0</v>
      </c>
    </row>
    <row r="108" spans="1:16">
      <c r="B108" s="160" t="str">
        <f t="shared" si="16"/>
        <v/>
      </c>
      <c r="C108" s="472">
        <f>IF(D93="","-",+C107+1)</f>
        <v>2026</v>
      </c>
      <c r="D108" s="347">
        <f>IF(F107+SUM(E$99:E107)=D$92,F107,D$92-SUM(E$99:E107))</f>
        <v>1058921</v>
      </c>
      <c r="E108" s="484">
        <f t="shared" si="17"/>
        <v>32658</v>
      </c>
      <c r="F108" s="485">
        <f t="shared" si="18"/>
        <v>1026263</v>
      </c>
      <c r="G108" s="485">
        <f t="shared" si="19"/>
        <v>1042592</v>
      </c>
      <c r="H108" s="486">
        <f t="shared" si="20"/>
        <v>151297.45567225991</v>
      </c>
      <c r="I108" s="542">
        <f t="shared" si="21"/>
        <v>151297.45567225991</v>
      </c>
      <c r="J108" s="478">
        <f t="shared" si="12"/>
        <v>0</v>
      </c>
      <c r="K108" s="478"/>
      <c r="L108" s="487"/>
      <c r="M108" s="478">
        <f t="shared" si="13"/>
        <v>0</v>
      </c>
      <c r="N108" s="487"/>
      <c r="O108" s="478">
        <f t="shared" si="14"/>
        <v>0</v>
      </c>
      <c r="P108" s="478">
        <f t="shared" si="15"/>
        <v>0</v>
      </c>
    </row>
    <row r="109" spans="1:16">
      <c r="B109" s="160" t="str">
        <f t="shared" si="16"/>
        <v/>
      </c>
      <c r="C109" s="472">
        <f>IF(D93="","-",+C108+1)</f>
        <v>2027</v>
      </c>
      <c r="D109" s="347">
        <f>IF(F108+SUM(E$99:E108)=D$92,F108,D$92-SUM(E$99:E108))</f>
        <v>1026263</v>
      </c>
      <c r="E109" s="484">
        <f t="shared" si="17"/>
        <v>32658</v>
      </c>
      <c r="F109" s="485">
        <f t="shared" si="18"/>
        <v>993605</v>
      </c>
      <c r="G109" s="485">
        <f t="shared" si="19"/>
        <v>1009934</v>
      </c>
      <c r="H109" s="486">
        <f t="shared" si="20"/>
        <v>147581.21063743837</v>
      </c>
      <c r="I109" s="542">
        <f t="shared" si="21"/>
        <v>147581.21063743837</v>
      </c>
      <c r="J109" s="478">
        <f t="shared" si="12"/>
        <v>0</v>
      </c>
      <c r="K109" s="478"/>
      <c r="L109" s="487"/>
      <c r="M109" s="478">
        <f t="shared" si="13"/>
        <v>0</v>
      </c>
      <c r="N109" s="487"/>
      <c r="O109" s="478">
        <f t="shared" si="14"/>
        <v>0</v>
      </c>
      <c r="P109" s="478">
        <f t="shared" si="15"/>
        <v>0</v>
      </c>
    </row>
    <row r="110" spans="1:16">
      <c r="B110" s="160" t="str">
        <f t="shared" si="16"/>
        <v/>
      </c>
      <c r="C110" s="472">
        <f>IF(D93="","-",+C109+1)</f>
        <v>2028</v>
      </c>
      <c r="D110" s="347">
        <f>IF(F109+SUM(E$99:E109)=D$92,F109,D$92-SUM(E$99:E109))</f>
        <v>993605</v>
      </c>
      <c r="E110" s="484">
        <f t="shared" si="17"/>
        <v>32658</v>
      </c>
      <c r="F110" s="485">
        <f t="shared" si="18"/>
        <v>960947</v>
      </c>
      <c r="G110" s="485">
        <f t="shared" si="19"/>
        <v>977276</v>
      </c>
      <c r="H110" s="486">
        <f t="shared" si="20"/>
        <v>143864.96560261684</v>
      </c>
      <c r="I110" s="542">
        <f t="shared" si="21"/>
        <v>143864.96560261684</v>
      </c>
      <c r="J110" s="478">
        <f t="shared" si="12"/>
        <v>0</v>
      </c>
      <c r="K110" s="478"/>
      <c r="L110" s="487"/>
      <c r="M110" s="478">
        <f t="shared" si="13"/>
        <v>0</v>
      </c>
      <c r="N110" s="487"/>
      <c r="O110" s="478">
        <f t="shared" si="14"/>
        <v>0</v>
      </c>
      <c r="P110" s="478">
        <f t="shared" si="15"/>
        <v>0</v>
      </c>
    </row>
    <row r="111" spans="1:16">
      <c r="B111" s="160" t="str">
        <f t="shared" si="16"/>
        <v/>
      </c>
      <c r="C111" s="472">
        <f>IF(D93="","-",+C110+1)</f>
        <v>2029</v>
      </c>
      <c r="D111" s="347">
        <f>IF(F110+SUM(E$99:E110)=D$92,F110,D$92-SUM(E$99:E110))</f>
        <v>960947</v>
      </c>
      <c r="E111" s="484">
        <f t="shared" si="17"/>
        <v>32658</v>
      </c>
      <c r="F111" s="485">
        <f t="shared" si="18"/>
        <v>928289</v>
      </c>
      <c r="G111" s="485">
        <f t="shared" si="19"/>
        <v>944618</v>
      </c>
      <c r="H111" s="486">
        <f t="shared" si="20"/>
        <v>140148.72056779527</v>
      </c>
      <c r="I111" s="542">
        <f t="shared" si="21"/>
        <v>140148.72056779527</v>
      </c>
      <c r="J111" s="478">
        <f t="shared" si="12"/>
        <v>0</v>
      </c>
      <c r="K111" s="478"/>
      <c r="L111" s="487"/>
      <c r="M111" s="478">
        <f t="shared" si="13"/>
        <v>0</v>
      </c>
      <c r="N111" s="487"/>
      <c r="O111" s="478">
        <f t="shared" si="14"/>
        <v>0</v>
      </c>
      <c r="P111" s="478">
        <f t="shared" si="15"/>
        <v>0</v>
      </c>
    </row>
    <row r="112" spans="1:16">
      <c r="B112" s="160" t="str">
        <f t="shared" si="16"/>
        <v/>
      </c>
      <c r="C112" s="472">
        <f>IF(D93="","-",+C111+1)</f>
        <v>2030</v>
      </c>
      <c r="D112" s="347">
        <f>IF(F111+SUM(E$99:E111)=D$92,F111,D$92-SUM(E$99:E111))</f>
        <v>928289</v>
      </c>
      <c r="E112" s="484">
        <f t="shared" si="17"/>
        <v>32658</v>
      </c>
      <c r="F112" s="485">
        <f t="shared" si="18"/>
        <v>895631</v>
      </c>
      <c r="G112" s="485">
        <f t="shared" si="19"/>
        <v>911960</v>
      </c>
      <c r="H112" s="486">
        <f t="shared" si="20"/>
        <v>136432.47553297374</v>
      </c>
      <c r="I112" s="542">
        <f t="shared" si="21"/>
        <v>136432.47553297374</v>
      </c>
      <c r="J112" s="478">
        <f t="shared" si="12"/>
        <v>0</v>
      </c>
      <c r="K112" s="478"/>
      <c r="L112" s="487"/>
      <c r="M112" s="478">
        <f t="shared" si="13"/>
        <v>0</v>
      </c>
      <c r="N112" s="487"/>
      <c r="O112" s="478">
        <f t="shared" si="14"/>
        <v>0</v>
      </c>
      <c r="P112" s="478">
        <f t="shared" si="15"/>
        <v>0</v>
      </c>
    </row>
    <row r="113" spans="2:16">
      <c r="B113" s="160" t="str">
        <f t="shared" si="16"/>
        <v/>
      </c>
      <c r="C113" s="472">
        <f>IF(D93="","-",+C112+1)</f>
        <v>2031</v>
      </c>
      <c r="D113" s="347">
        <f>IF(F112+SUM(E$99:E112)=D$92,F112,D$92-SUM(E$99:E112))</f>
        <v>895631</v>
      </c>
      <c r="E113" s="484">
        <f t="shared" si="17"/>
        <v>32658</v>
      </c>
      <c r="F113" s="485">
        <f t="shared" si="18"/>
        <v>862973</v>
      </c>
      <c r="G113" s="485">
        <f t="shared" si="19"/>
        <v>879302</v>
      </c>
      <c r="H113" s="486">
        <f t="shared" si="20"/>
        <v>132716.2304981522</v>
      </c>
      <c r="I113" s="542">
        <f t="shared" si="21"/>
        <v>132716.2304981522</v>
      </c>
      <c r="J113" s="478">
        <f t="shared" si="12"/>
        <v>0</v>
      </c>
      <c r="K113" s="478"/>
      <c r="L113" s="487"/>
      <c r="M113" s="478">
        <f t="shared" si="13"/>
        <v>0</v>
      </c>
      <c r="N113" s="487"/>
      <c r="O113" s="478">
        <f t="shared" si="14"/>
        <v>0</v>
      </c>
      <c r="P113" s="478">
        <f t="shared" si="15"/>
        <v>0</v>
      </c>
    </row>
    <row r="114" spans="2:16">
      <c r="B114" s="160" t="str">
        <f t="shared" si="16"/>
        <v/>
      </c>
      <c r="C114" s="472">
        <f>IF(D93="","-",+C113+1)</f>
        <v>2032</v>
      </c>
      <c r="D114" s="347">
        <f>IF(F113+SUM(E$99:E113)=D$92,F113,D$92-SUM(E$99:E113))</f>
        <v>862973</v>
      </c>
      <c r="E114" s="484">
        <f t="shared" si="17"/>
        <v>32658</v>
      </c>
      <c r="F114" s="485">
        <f t="shared" si="18"/>
        <v>830315</v>
      </c>
      <c r="G114" s="485">
        <f t="shared" si="19"/>
        <v>846644</v>
      </c>
      <c r="H114" s="486">
        <f t="shared" si="20"/>
        <v>128999.98546333064</v>
      </c>
      <c r="I114" s="542">
        <f t="shared" si="21"/>
        <v>128999.98546333064</v>
      </c>
      <c r="J114" s="478">
        <f t="shared" si="12"/>
        <v>0</v>
      </c>
      <c r="K114" s="478"/>
      <c r="L114" s="487"/>
      <c r="M114" s="478">
        <f t="shared" si="13"/>
        <v>0</v>
      </c>
      <c r="N114" s="487"/>
      <c r="O114" s="478">
        <f t="shared" si="14"/>
        <v>0</v>
      </c>
      <c r="P114" s="478">
        <f t="shared" si="15"/>
        <v>0</v>
      </c>
    </row>
    <row r="115" spans="2:16">
      <c r="B115" s="160" t="str">
        <f t="shared" si="16"/>
        <v/>
      </c>
      <c r="C115" s="472">
        <f>IF(D93="","-",+C114+1)</f>
        <v>2033</v>
      </c>
      <c r="D115" s="347">
        <f>IF(F114+SUM(E$99:E114)=D$92,F114,D$92-SUM(E$99:E114))</f>
        <v>830315</v>
      </c>
      <c r="E115" s="484">
        <f t="shared" si="17"/>
        <v>32658</v>
      </c>
      <c r="F115" s="485">
        <f t="shared" si="18"/>
        <v>797657</v>
      </c>
      <c r="G115" s="485">
        <f t="shared" si="19"/>
        <v>813986</v>
      </c>
      <c r="H115" s="486">
        <f t="shared" si="20"/>
        <v>125283.7404285091</v>
      </c>
      <c r="I115" s="542">
        <f t="shared" si="21"/>
        <v>125283.7404285091</v>
      </c>
      <c r="J115" s="478">
        <f t="shared" si="12"/>
        <v>0</v>
      </c>
      <c r="K115" s="478"/>
      <c r="L115" s="487"/>
      <c r="M115" s="478">
        <f t="shared" si="13"/>
        <v>0</v>
      </c>
      <c r="N115" s="487"/>
      <c r="O115" s="478">
        <f t="shared" si="14"/>
        <v>0</v>
      </c>
      <c r="P115" s="478">
        <f t="shared" si="15"/>
        <v>0</v>
      </c>
    </row>
    <row r="116" spans="2:16">
      <c r="B116" s="160" t="str">
        <f t="shared" si="16"/>
        <v/>
      </c>
      <c r="C116" s="472">
        <f>IF(D93="","-",+C115+1)</f>
        <v>2034</v>
      </c>
      <c r="D116" s="347">
        <f>IF(F115+SUM(E$99:E115)=D$92,F115,D$92-SUM(E$99:E115))</f>
        <v>797657</v>
      </c>
      <c r="E116" s="484">
        <f t="shared" si="17"/>
        <v>32658</v>
      </c>
      <c r="F116" s="485">
        <f t="shared" si="18"/>
        <v>764999</v>
      </c>
      <c r="G116" s="485">
        <f t="shared" si="19"/>
        <v>781328</v>
      </c>
      <c r="H116" s="486">
        <f t="shared" si="20"/>
        <v>121567.49539368755</v>
      </c>
      <c r="I116" s="542">
        <f t="shared" si="21"/>
        <v>121567.49539368755</v>
      </c>
      <c r="J116" s="478">
        <f t="shared" si="12"/>
        <v>0</v>
      </c>
      <c r="K116" s="478"/>
      <c r="L116" s="487"/>
      <c r="M116" s="478">
        <f t="shared" si="13"/>
        <v>0</v>
      </c>
      <c r="N116" s="487"/>
      <c r="O116" s="478">
        <f t="shared" si="14"/>
        <v>0</v>
      </c>
      <c r="P116" s="478">
        <f t="shared" si="15"/>
        <v>0</v>
      </c>
    </row>
    <row r="117" spans="2:16">
      <c r="B117" s="160" t="str">
        <f t="shared" si="16"/>
        <v/>
      </c>
      <c r="C117" s="472">
        <f>IF(D93="","-",+C116+1)</f>
        <v>2035</v>
      </c>
      <c r="D117" s="347">
        <f>IF(F116+SUM(E$99:E116)=D$92,F116,D$92-SUM(E$99:E116))</f>
        <v>764999</v>
      </c>
      <c r="E117" s="484">
        <f t="shared" si="17"/>
        <v>32658</v>
      </c>
      <c r="F117" s="485">
        <f t="shared" si="18"/>
        <v>732341</v>
      </c>
      <c r="G117" s="485">
        <f t="shared" si="19"/>
        <v>748670</v>
      </c>
      <c r="H117" s="486">
        <f t="shared" si="20"/>
        <v>117851.250358866</v>
      </c>
      <c r="I117" s="542">
        <f t="shared" si="21"/>
        <v>117851.250358866</v>
      </c>
      <c r="J117" s="478">
        <f t="shared" si="12"/>
        <v>0</v>
      </c>
      <c r="K117" s="478"/>
      <c r="L117" s="487"/>
      <c r="M117" s="478">
        <f t="shared" si="13"/>
        <v>0</v>
      </c>
      <c r="N117" s="487"/>
      <c r="O117" s="478">
        <f t="shared" si="14"/>
        <v>0</v>
      </c>
      <c r="P117" s="478">
        <f t="shared" si="15"/>
        <v>0</v>
      </c>
    </row>
    <row r="118" spans="2:16">
      <c r="B118" s="160" t="str">
        <f t="shared" si="16"/>
        <v/>
      </c>
      <c r="C118" s="472">
        <f>IF(D93="","-",+C117+1)</f>
        <v>2036</v>
      </c>
      <c r="D118" s="347">
        <f>IF(F117+SUM(E$99:E117)=D$92,F117,D$92-SUM(E$99:E117))</f>
        <v>732341</v>
      </c>
      <c r="E118" s="484">
        <f t="shared" si="17"/>
        <v>32658</v>
      </c>
      <c r="F118" s="485">
        <f t="shared" si="18"/>
        <v>699683</v>
      </c>
      <c r="G118" s="485">
        <f t="shared" si="19"/>
        <v>716012</v>
      </c>
      <c r="H118" s="486">
        <f t="shared" si="20"/>
        <v>114135.00532404447</v>
      </c>
      <c r="I118" s="542">
        <f t="shared" si="21"/>
        <v>114135.00532404447</v>
      </c>
      <c r="J118" s="478">
        <f t="shared" si="12"/>
        <v>0</v>
      </c>
      <c r="K118" s="478"/>
      <c r="L118" s="487"/>
      <c r="M118" s="478">
        <f t="shared" si="13"/>
        <v>0</v>
      </c>
      <c r="N118" s="487"/>
      <c r="O118" s="478">
        <f t="shared" si="14"/>
        <v>0</v>
      </c>
      <c r="P118" s="478">
        <f t="shared" si="15"/>
        <v>0</v>
      </c>
    </row>
    <row r="119" spans="2:16">
      <c r="B119" s="160" t="str">
        <f t="shared" si="16"/>
        <v/>
      </c>
      <c r="C119" s="472">
        <f>IF(D93="","-",+C118+1)</f>
        <v>2037</v>
      </c>
      <c r="D119" s="347">
        <f>IF(F118+SUM(E$99:E118)=D$92,F118,D$92-SUM(E$99:E118))</f>
        <v>699683</v>
      </c>
      <c r="E119" s="484">
        <f t="shared" si="17"/>
        <v>32658</v>
      </c>
      <c r="F119" s="485">
        <f t="shared" si="18"/>
        <v>667025</v>
      </c>
      <c r="G119" s="485">
        <f t="shared" si="19"/>
        <v>683354</v>
      </c>
      <c r="H119" s="486">
        <f t="shared" si="20"/>
        <v>110418.76028922292</v>
      </c>
      <c r="I119" s="542">
        <f t="shared" si="21"/>
        <v>110418.76028922292</v>
      </c>
      <c r="J119" s="478">
        <f t="shared" si="12"/>
        <v>0</v>
      </c>
      <c r="K119" s="478"/>
      <c r="L119" s="487"/>
      <c r="M119" s="478">
        <f t="shared" si="13"/>
        <v>0</v>
      </c>
      <c r="N119" s="487"/>
      <c r="O119" s="478">
        <f t="shared" si="14"/>
        <v>0</v>
      </c>
      <c r="P119" s="478">
        <f t="shared" si="15"/>
        <v>0</v>
      </c>
    </row>
    <row r="120" spans="2:16">
      <c r="B120" s="160" t="str">
        <f t="shared" si="16"/>
        <v/>
      </c>
      <c r="C120" s="472">
        <f>IF(D93="","-",+C119+1)</f>
        <v>2038</v>
      </c>
      <c r="D120" s="347">
        <f>IF(F119+SUM(E$99:E119)=D$92,F119,D$92-SUM(E$99:E119))</f>
        <v>667025</v>
      </c>
      <c r="E120" s="484">
        <f t="shared" si="17"/>
        <v>32658</v>
      </c>
      <c r="F120" s="485">
        <f t="shared" si="18"/>
        <v>634367</v>
      </c>
      <c r="G120" s="485">
        <f t="shared" si="19"/>
        <v>650696</v>
      </c>
      <c r="H120" s="486">
        <f t="shared" si="20"/>
        <v>106702.51525440137</v>
      </c>
      <c r="I120" s="542">
        <f t="shared" si="21"/>
        <v>106702.51525440137</v>
      </c>
      <c r="J120" s="478">
        <f t="shared" si="12"/>
        <v>0</v>
      </c>
      <c r="K120" s="478"/>
      <c r="L120" s="487"/>
      <c r="M120" s="478">
        <f t="shared" si="13"/>
        <v>0</v>
      </c>
      <c r="N120" s="487"/>
      <c r="O120" s="478">
        <f t="shared" si="14"/>
        <v>0</v>
      </c>
      <c r="P120" s="478">
        <f t="shared" si="15"/>
        <v>0</v>
      </c>
    </row>
    <row r="121" spans="2:16">
      <c r="B121" s="160" t="str">
        <f t="shared" si="16"/>
        <v/>
      </c>
      <c r="C121" s="472">
        <f>IF(D93="","-",+C120+1)</f>
        <v>2039</v>
      </c>
      <c r="D121" s="347">
        <f>IF(F120+SUM(E$99:E120)=D$92,F120,D$92-SUM(E$99:E120))</f>
        <v>634367</v>
      </c>
      <c r="E121" s="484">
        <f t="shared" si="17"/>
        <v>32658</v>
      </c>
      <c r="F121" s="485">
        <f t="shared" si="18"/>
        <v>601709</v>
      </c>
      <c r="G121" s="485">
        <f t="shared" si="19"/>
        <v>618038</v>
      </c>
      <c r="H121" s="486">
        <f t="shared" si="20"/>
        <v>102986.27021957983</v>
      </c>
      <c r="I121" s="542">
        <f t="shared" si="21"/>
        <v>102986.27021957983</v>
      </c>
      <c r="J121" s="478">
        <f t="shared" si="12"/>
        <v>0</v>
      </c>
      <c r="K121" s="478"/>
      <c r="L121" s="487"/>
      <c r="M121" s="478">
        <f t="shared" si="13"/>
        <v>0</v>
      </c>
      <c r="N121" s="487"/>
      <c r="O121" s="478">
        <f t="shared" si="14"/>
        <v>0</v>
      </c>
      <c r="P121" s="478">
        <f t="shared" si="15"/>
        <v>0</v>
      </c>
    </row>
    <row r="122" spans="2:16">
      <c r="B122" s="160" t="str">
        <f t="shared" si="16"/>
        <v/>
      </c>
      <c r="C122" s="472">
        <f>IF(D93="","-",+C121+1)</f>
        <v>2040</v>
      </c>
      <c r="D122" s="347">
        <f>IF(F121+SUM(E$99:E121)=D$92,F121,D$92-SUM(E$99:E121))</f>
        <v>601709</v>
      </c>
      <c r="E122" s="484">
        <f t="shared" si="17"/>
        <v>32658</v>
      </c>
      <c r="F122" s="485">
        <f t="shared" si="18"/>
        <v>569051</v>
      </c>
      <c r="G122" s="485">
        <f t="shared" si="19"/>
        <v>585380</v>
      </c>
      <c r="H122" s="486">
        <f t="shared" si="20"/>
        <v>99270.025184758284</v>
      </c>
      <c r="I122" s="542">
        <f t="shared" si="21"/>
        <v>99270.025184758284</v>
      </c>
      <c r="J122" s="478">
        <f t="shared" si="12"/>
        <v>0</v>
      </c>
      <c r="K122" s="478"/>
      <c r="L122" s="487"/>
      <c r="M122" s="478">
        <f t="shared" si="13"/>
        <v>0</v>
      </c>
      <c r="N122" s="487"/>
      <c r="O122" s="478">
        <f t="shared" si="14"/>
        <v>0</v>
      </c>
      <c r="P122" s="478">
        <f t="shared" si="15"/>
        <v>0</v>
      </c>
    </row>
    <row r="123" spans="2:16">
      <c r="B123" s="160" t="str">
        <f t="shared" si="16"/>
        <v/>
      </c>
      <c r="C123" s="472">
        <f>IF(D93="","-",+C122+1)</f>
        <v>2041</v>
      </c>
      <c r="D123" s="347">
        <f>IF(F122+SUM(E$99:E122)=D$92,F122,D$92-SUM(E$99:E122))</f>
        <v>569051</v>
      </c>
      <c r="E123" s="484">
        <f t="shared" si="17"/>
        <v>32658</v>
      </c>
      <c r="F123" s="485">
        <f t="shared" si="18"/>
        <v>536393</v>
      </c>
      <c r="G123" s="485">
        <f t="shared" si="19"/>
        <v>552722</v>
      </c>
      <c r="H123" s="486">
        <f t="shared" si="20"/>
        <v>95553.780149936734</v>
      </c>
      <c r="I123" s="542">
        <f t="shared" si="21"/>
        <v>95553.780149936734</v>
      </c>
      <c r="J123" s="478">
        <f t="shared" si="12"/>
        <v>0</v>
      </c>
      <c r="K123" s="478"/>
      <c r="L123" s="487"/>
      <c r="M123" s="478">
        <f t="shared" si="13"/>
        <v>0</v>
      </c>
      <c r="N123" s="487"/>
      <c r="O123" s="478">
        <f t="shared" si="14"/>
        <v>0</v>
      </c>
      <c r="P123" s="478">
        <f t="shared" si="15"/>
        <v>0</v>
      </c>
    </row>
    <row r="124" spans="2:16">
      <c r="B124" s="160" t="str">
        <f t="shared" si="16"/>
        <v/>
      </c>
      <c r="C124" s="472">
        <f>IF(D93="","-",+C123+1)</f>
        <v>2042</v>
      </c>
      <c r="D124" s="347">
        <f>IF(F123+SUM(E$99:E123)=D$92,F123,D$92-SUM(E$99:E123))</f>
        <v>536393</v>
      </c>
      <c r="E124" s="484">
        <f t="shared" si="17"/>
        <v>32658</v>
      </c>
      <c r="F124" s="485">
        <f t="shared" si="18"/>
        <v>503735</v>
      </c>
      <c r="G124" s="485">
        <f t="shared" si="19"/>
        <v>520064</v>
      </c>
      <c r="H124" s="486">
        <f t="shared" si="20"/>
        <v>91837.535115115199</v>
      </c>
      <c r="I124" s="542">
        <f t="shared" si="21"/>
        <v>91837.535115115199</v>
      </c>
      <c r="J124" s="478">
        <f t="shared" si="12"/>
        <v>0</v>
      </c>
      <c r="K124" s="478"/>
      <c r="L124" s="487"/>
      <c r="M124" s="478">
        <f t="shared" si="13"/>
        <v>0</v>
      </c>
      <c r="N124" s="487"/>
      <c r="O124" s="478">
        <f t="shared" si="14"/>
        <v>0</v>
      </c>
      <c r="P124" s="478">
        <f t="shared" si="15"/>
        <v>0</v>
      </c>
    </row>
    <row r="125" spans="2:16">
      <c r="B125" s="160" t="str">
        <f t="shared" si="16"/>
        <v/>
      </c>
      <c r="C125" s="472">
        <f>IF(D93="","-",+C124+1)</f>
        <v>2043</v>
      </c>
      <c r="D125" s="347">
        <f>IF(F124+SUM(E$99:E124)=D$92,F124,D$92-SUM(E$99:E124))</f>
        <v>503735</v>
      </c>
      <c r="E125" s="484">
        <f t="shared" si="17"/>
        <v>32658</v>
      </c>
      <c r="F125" s="485">
        <f t="shared" si="18"/>
        <v>471077</v>
      </c>
      <c r="G125" s="485">
        <f t="shared" si="19"/>
        <v>487406</v>
      </c>
      <c r="H125" s="486">
        <f t="shared" si="20"/>
        <v>88121.290080293649</v>
      </c>
      <c r="I125" s="542">
        <f t="shared" si="21"/>
        <v>88121.290080293649</v>
      </c>
      <c r="J125" s="478">
        <f t="shared" si="12"/>
        <v>0</v>
      </c>
      <c r="K125" s="478"/>
      <c r="L125" s="487"/>
      <c r="M125" s="478">
        <f t="shared" si="13"/>
        <v>0</v>
      </c>
      <c r="N125" s="487"/>
      <c r="O125" s="478">
        <f t="shared" si="14"/>
        <v>0</v>
      </c>
      <c r="P125" s="478">
        <f t="shared" si="15"/>
        <v>0</v>
      </c>
    </row>
    <row r="126" spans="2:16">
      <c r="B126" s="160" t="str">
        <f t="shared" si="16"/>
        <v/>
      </c>
      <c r="C126" s="472">
        <f>IF(D93="","-",+C125+1)</f>
        <v>2044</v>
      </c>
      <c r="D126" s="347">
        <f>IF(F125+SUM(E$99:E125)=D$92,F125,D$92-SUM(E$99:E125))</f>
        <v>471077</v>
      </c>
      <c r="E126" s="484">
        <f t="shared" si="17"/>
        <v>32658</v>
      </c>
      <c r="F126" s="485">
        <f t="shared" si="18"/>
        <v>438419</v>
      </c>
      <c r="G126" s="485">
        <f t="shared" si="19"/>
        <v>454748</v>
      </c>
      <c r="H126" s="486">
        <f t="shared" si="20"/>
        <v>84405.045045472099</v>
      </c>
      <c r="I126" s="542">
        <f t="shared" si="21"/>
        <v>84405.045045472099</v>
      </c>
      <c r="J126" s="478">
        <f t="shared" si="12"/>
        <v>0</v>
      </c>
      <c r="K126" s="478"/>
      <c r="L126" s="487"/>
      <c r="M126" s="478">
        <f t="shared" si="13"/>
        <v>0</v>
      </c>
      <c r="N126" s="487"/>
      <c r="O126" s="478">
        <f t="shared" si="14"/>
        <v>0</v>
      </c>
      <c r="P126" s="478">
        <f t="shared" si="15"/>
        <v>0</v>
      </c>
    </row>
    <row r="127" spans="2:16">
      <c r="B127" s="160" t="str">
        <f t="shared" si="16"/>
        <v/>
      </c>
      <c r="C127" s="472">
        <f>IF(D93="","-",+C126+1)</f>
        <v>2045</v>
      </c>
      <c r="D127" s="347">
        <f>IF(F126+SUM(E$99:E126)=D$92,F126,D$92-SUM(E$99:E126))</f>
        <v>438419</v>
      </c>
      <c r="E127" s="484">
        <f t="shared" si="17"/>
        <v>32658</v>
      </c>
      <c r="F127" s="485">
        <f t="shared" si="18"/>
        <v>405761</v>
      </c>
      <c r="G127" s="485">
        <f t="shared" si="19"/>
        <v>422090</v>
      </c>
      <c r="H127" s="486">
        <f t="shared" si="20"/>
        <v>80688.800010650564</v>
      </c>
      <c r="I127" s="542">
        <f t="shared" si="21"/>
        <v>80688.800010650564</v>
      </c>
      <c r="J127" s="478">
        <f t="shared" si="12"/>
        <v>0</v>
      </c>
      <c r="K127" s="478"/>
      <c r="L127" s="487"/>
      <c r="M127" s="478">
        <f t="shared" si="13"/>
        <v>0</v>
      </c>
      <c r="N127" s="487"/>
      <c r="O127" s="478">
        <f t="shared" si="14"/>
        <v>0</v>
      </c>
      <c r="P127" s="478">
        <f t="shared" si="15"/>
        <v>0</v>
      </c>
    </row>
    <row r="128" spans="2:16">
      <c r="B128" s="160" t="str">
        <f t="shared" si="16"/>
        <v/>
      </c>
      <c r="C128" s="472">
        <f>IF(D93="","-",+C127+1)</f>
        <v>2046</v>
      </c>
      <c r="D128" s="347">
        <f>IF(F127+SUM(E$99:E127)=D$92,F127,D$92-SUM(E$99:E127))</f>
        <v>405761</v>
      </c>
      <c r="E128" s="484">
        <f t="shared" si="17"/>
        <v>32658</v>
      </c>
      <c r="F128" s="485">
        <f t="shared" si="18"/>
        <v>373103</v>
      </c>
      <c r="G128" s="485">
        <f t="shared" si="19"/>
        <v>389432</v>
      </c>
      <c r="H128" s="486">
        <f t="shared" si="20"/>
        <v>76972.554975829014</v>
      </c>
      <c r="I128" s="542">
        <f t="shared" si="21"/>
        <v>76972.554975829014</v>
      </c>
      <c r="J128" s="478">
        <f t="shared" si="12"/>
        <v>0</v>
      </c>
      <c r="K128" s="478"/>
      <c r="L128" s="487"/>
      <c r="M128" s="478">
        <f t="shared" si="13"/>
        <v>0</v>
      </c>
      <c r="N128" s="487"/>
      <c r="O128" s="478">
        <f t="shared" si="14"/>
        <v>0</v>
      </c>
      <c r="P128" s="478">
        <f t="shared" si="15"/>
        <v>0</v>
      </c>
    </row>
    <row r="129" spans="2:16">
      <c r="B129" s="160" t="str">
        <f t="shared" si="16"/>
        <v/>
      </c>
      <c r="C129" s="472">
        <f>IF(D93="","-",+C128+1)</f>
        <v>2047</v>
      </c>
      <c r="D129" s="347">
        <f>IF(F128+SUM(E$99:E128)=D$92,F128,D$92-SUM(E$99:E128))</f>
        <v>373103</v>
      </c>
      <c r="E129" s="484">
        <f t="shared" si="17"/>
        <v>32658</v>
      </c>
      <c r="F129" s="485">
        <f t="shared" si="18"/>
        <v>340445</v>
      </c>
      <c r="G129" s="485">
        <f t="shared" si="19"/>
        <v>356774</v>
      </c>
      <c r="H129" s="486">
        <f t="shared" si="20"/>
        <v>73256.309941007465</v>
      </c>
      <c r="I129" s="542">
        <f t="shared" si="21"/>
        <v>73256.309941007465</v>
      </c>
      <c r="J129" s="478">
        <f t="shared" si="12"/>
        <v>0</v>
      </c>
      <c r="K129" s="478"/>
      <c r="L129" s="487"/>
      <c r="M129" s="478">
        <f t="shared" si="13"/>
        <v>0</v>
      </c>
      <c r="N129" s="487"/>
      <c r="O129" s="478">
        <f t="shared" si="14"/>
        <v>0</v>
      </c>
      <c r="P129" s="478">
        <f t="shared" si="15"/>
        <v>0</v>
      </c>
    </row>
    <row r="130" spans="2:16">
      <c r="B130" s="160" t="str">
        <f t="shared" si="16"/>
        <v/>
      </c>
      <c r="C130" s="472">
        <f>IF(D93="","-",+C129+1)</f>
        <v>2048</v>
      </c>
      <c r="D130" s="347">
        <f>IF(F129+SUM(E$99:E129)=D$92,F129,D$92-SUM(E$99:E129))</f>
        <v>340445</v>
      </c>
      <c r="E130" s="484">
        <f t="shared" si="17"/>
        <v>32658</v>
      </c>
      <c r="F130" s="485">
        <f t="shared" si="18"/>
        <v>307787</v>
      </c>
      <c r="G130" s="485">
        <f t="shared" si="19"/>
        <v>324116</v>
      </c>
      <c r="H130" s="486">
        <f t="shared" si="20"/>
        <v>69540.064906185929</v>
      </c>
      <c r="I130" s="542">
        <f t="shared" si="21"/>
        <v>69540.064906185929</v>
      </c>
      <c r="J130" s="478">
        <f t="shared" si="12"/>
        <v>0</v>
      </c>
      <c r="K130" s="478"/>
      <c r="L130" s="487"/>
      <c r="M130" s="478">
        <f t="shared" si="13"/>
        <v>0</v>
      </c>
      <c r="N130" s="487"/>
      <c r="O130" s="478">
        <f t="shared" si="14"/>
        <v>0</v>
      </c>
      <c r="P130" s="478">
        <f t="shared" si="15"/>
        <v>0</v>
      </c>
    </row>
    <row r="131" spans="2:16">
      <c r="B131" s="160" t="str">
        <f t="shared" si="16"/>
        <v/>
      </c>
      <c r="C131" s="472">
        <f>IF(D93="","-",+C130+1)</f>
        <v>2049</v>
      </c>
      <c r="D131" s="347">
        <f>IF(F130+SUM(E$99:E130)=D$92,F130,D$92-SUM(E$99:E130))</f>
        <v>307787</v>
      </c>
      <c r="E131" s="484">
        <f t="shared" si="17"/>
        <v>32658</v>
      </c>
      <c r="F131" s="485">
        <f t="shared" si="18"/>
        <v>275129</v>
      </c>
      <c r="G131" s="485">
        <f t="shared" si="19"/>
        <v>291458</v>
      </c>
      <c r="H131" s="486">
        <f t="shared" si="20"/>
        <v>65823.81987136438</v>
      </c>
      <c r="I131" s="542">
        <f t="shared" si="21"/>
        <v>65823.81987136438</v>
      </c>
      <c r="J131" s="478">
        <f t="shared" ref="J131:J154" si="22">+I541-H541</f>
        <v>0</v>
      </c>
      <c r="K131" s="478"/>
      <c r="L131" s="487"/>
      <c r="M131" s="478">
        <f t="shared" ref="M131:M154" si="23">IF(L541&lt;&gt;0,+H541-L541,0)</f>
        <v>0</v>
      </c>
      <c r="N131" s="487"/>
      <c r="O131" s="478">
        <f t="shared" ref="O131:O154" si="24">IF(N541&lt;&gt;0,+I541-N541,0)</f>
        <v>0</v>
      </c>
      <c r="P131" s="478">
        <f t="shared" ref="P131:P154" si="25">+O541-M541</f>
        <v>0</v>
      </c>
    </row>
    <row r="132" spans="2:16">
      <c r="B132" s="160" t="str">
        <f t="shared" si="16"/>
        <v/>
      </c>
      <c r="C132" s="472">
        <f>IF(D93="","-",+C131+1)</f>
        <v>2050</v>
      </c>
      <c r="D132" s="347">
        <f>IF(F131+SUM(E$99:E131)=D$92,F131,D$92-SUM(E$99:E131))</f>
        <v>275129</v>
      </c>
      <c r="E132" s="484">
        <f t="shared" si="17"/>
        <v>32658</v>
      </c>
      <c r="F132" s="485">
        <f t="shared" si="18"/>
        <v>242471</v>
      </c>
      <c r="G132" s="485">
        <f t="shared" si="19"/>
        <v>258800</v>
      </c>
      <c r="H132" s="486">
        <f t="shared" si="20"/>
        <v>62107.57483654283</v>
      </c>
      <c r="I132" s="542">
        <f t="shared" si="21"/>
        <v>62107.57483654283</v>
      </c>
      <c r="J132" s="478">
        <f t="shared" si="22"/>
        <v>0</v>
      </c>
      <c r="K132" s="478"/>
      <c r="L132" s="487"/>
      <c r="M132" s="478">
        <f t="shared" si="23"/>
        <v>0</v>
      </c>
      <c r="N132" s="487"/>
      <c r="O132" s="478">
        <f t="shared" si="24"/>
        <v>0</v>
      </c>
      <c r="P132" s="478">
        <f t="shared" si="25"/>
        <v>0</v>
      </c>
    </row>
    <row r="133" spans="2:16">
      <c r="B133" s="160" t="str">
        <f t="shared" si="16"/>
        <v/>
      </c>
      <c r="C133" s="472">
        <f>IF(D93="","-",+C132+1)</f>
        <v>2051</v>
      </c>
      <c r="D133" s="347">
        <f>IF(F132+SUM(E$99:E132)=D$92,F132,D$92-SUM(E$99:E132))</f>
        <v>242471</v>
      </c>
      <c r="E133" s="484">
        <f t="shared" si="17"/>
        <v>32658</v>
      </c>
      <c r="F133" s="485">
        <f t="shared" si="18"/>
        <v>209813</v>
      </c>
      <c r="G133" s="485">
        <f t="shared" si="19"/>
        <v>226142</v>
      </c>
      <c r="H133" s="486">
        <f t="shared" si="20"/>
        <v>58391.329801721287</v>
      </c>
      <c r="I133" s="542">
        <f t="shared" si="21"/>
        <v>58391.329801721287</v>
      </c>
      <c r="J133" s="478">
        <f t="shared" si="22"/>
        <v>0</v>
      </c>
      <c r="K133" s="478"/>
      <c r="L133" s="487"/>
      <c r="M133" s="478">
        <f t="shared" si="23"/>
        <v>0</v>
      </c>
      <c r="N133" s="487"/>
      <c r="O133" s="478">
        <f t="shared" si="24"/>
        <v>0</v>
      </c>
      <c r="P133" s="478">
        <f t="shared" si="25"/>
        <v>0</v>
      </c>
    </row>
    <row r="134" spans="2:16">
      <c r="B134" s="160" t="str">
        <f t="shared" si="16"/>
        <v/>
      </c>
      <c r="C134" s="472">
        <f>IF(D93="","-",+C133+1)</f>
        <v>2052</v>
      </c>
      <c r="D134" s="347">
        <f>IF(F133+SUM(E$99:E133)=D$92,F133,D$92-SUM(E$99:E133))</f>
        <v>209813</v>
      </c>
      <c r="E134" s="484">
        <f t="shared" si="17"/>
        <v>32658</v>
      </c>
      <c r="F134" s="485">
        <f t="shared" si="18"/>
        <v>177155</v>
      </c>
      <c r="G134" s="485">
        <f t="shared" si="19"/>
        <v>193484</v>
      </c>
      <c r="H134" s="486">
        <f t="shared" si="20"/>
        <v>54675.084766899745</v>
      </c>
      <c r="I134" s="542">
        <f t="shared" si="21"/>
        <v>54675.084766899745</v>
      </c>
      <c r="J134" s="478">
        <f t="shared" si="22"/>
        <v>0</v>
      </c>
      <c r="K134" s="478"/>
      <c r="L134" s="487"/>
      <c r="M134" s="478">
        <f t="shared" si="23"/>
        <v>0</v>
      </c>
      <c r="N134" s="487"/>
      <c r="O134" s="478">
        <f t="shared" si="24"/>
        <v>0</v>
      </c>
      <c r="P134" s="478">
        <f t="shared" si="25"/>
        <v>0</v>
      </c>
    </row>
    <row r="135" spans="2:16">
      <c r="B135" s="160" t="str">
        <f t="shared" si="16"/>
        <v/>
      </c>
      <c r="C135" s="472">
        <f>IF(D93="","-",+C134+1)</f>
        <v>2053</v>
      </c>
      <c r="D135" s="347">
        <f>IF(F134+SUM(E$99:E134)=D$92,F134,D$92-SUM(E$99:E134))</f>
        <v>177155</v>
      </c>
      <c r="E135" s="484">
        <f t="shared" si="17"/>
        <v>32658</v>
      </c>
      <c r="F135" s="485">
        <f t="shared" si="18"/>
        <v>144497</v>
      </c>
      <c r="G135" s="485">
        <f t="shared" si="19"/>
        <v>160826</v>
      </c>
      <c r="H135" s="486">
        <f t="shared" si="20"/>
        <v>50958.839732078195</v>
      </c>
      <c r="I135" s="542">
        <f t="shared" si="21"/>
        <v>50958.839732078195</v>
      </c>
      <c r="J135" s="478">
        <f t="shared" si="22"/>
        <v>0</v>
      </c>
      <c r="K135" s="478"/>
      <c r="L135" s="487"/>
      <c r="M135" s="478">
        <f t="shared" si="23"/>
        <v>0</v>
      </c>
      <c r="N135" s="487"/>
      <c r="O135" s="478">
        <f t="shared" si="24"/>
        <v>0</v>
      </c>
      <c r="P135" s="478">
        <f t="shared" si="25"/>
        <v>0</v>
      </c>
    </row>
    <row r="136" spans="2:16">
      <c r="B136" s="160" t="str">
        <f t="shared" si="16"/>
        <v/>
      </c>
      <c r="C136" s="472">
        <f>IF(D93="","-",+C135+1)</f>
        <v>2054</v>
      </c>
      <c r="D136" s="347">
        <f>IF(F135+SUM(E$99:E135)=D$92,F135,D$92-SUM(E$99:E135))</f>
        <v>144497</v>
      </c>
      <c r="E136" s="484">
        <f t="shared" si="17"/>
        <v>32658</v>
      </c>
      <c r="F136" s="485">
        <f t="shared" si="18"/>
        <v>111839</v>
      </c>
      <c r="G136" s="485">
        <f t="shared" si="19"/>
        <v>128168</v>
      </c>
      <c r="H136" s="486">
        <f t="shared" si="20"/>
        <v>47242.594697256653</v>
      </c>
      <c r="I136" s="542">
        <f t="shared" si="21"/>
        <v>47242.594697256653</v>
      </c>
      <c r="J136" s="478">
        <f t="shared" si="22"/>
        <v>0</v>
      </c>
      <c r="K136" s="478"/>
      <c r="L136" s="487"/>
      <c r="M136" s="478">
        <f t="shared" si="23"/>
        <v>0</v>
      </c>
      <c r="N136" s="487"/>
      <c r="O136" s="478">
        <f t="shared" si="24"/>
        <v>0</v>
      </c>
      <c r="P136" s="478">
        <f t="shared" si="25"/>
        <v>0</v>
      </c>
    </row>
    <row r="137" spans="2:16">
      <c r="B137" s="160" t="str">
        <f t="shared" si="16"/>
        <v/>
      </c>
      <c r="C137" s="472">
        <f>IF(D93="","-",+C136+1)</f>
        <v>2055</v>
      </c>
      <c r="D137" s="347">
        <f>IF(F136+SUM(E$99:E136)=D$92,F136,D$92-SUM(E$99:E136))</f>
        <v>111839</v>
      </c>
      <c r="E137" s="484">
        <f t="shared" si="17"/>
        <v>32658</v>
      </c>
      <c r="F137" s="485">
        <f t="shared" si="18"/>
        <v>79181</v>
      </c>
      <c r="G137" s="485">
        <f t="shared" si="19"/>
        <v>95510</v>
      </c>
      <c r="H137" s="486">
        <f t="shared" si="20"/>
        <v>43526.34966243511</v>
      </c>
      <c r="I137" s="542">
        <f t="shared" si="21"/>
        <v>43526.34966243511</v>
      </c>
      <c r="J137" s="478">
        <f t="shared" si="22"/>
        <v>0</v>
      </c>
      <c r="K137" s="478"/>
      <c r="L137" s="487"/>
      <c r="M137" s="478">
        <f t="shared" si="23"/>
        <v>0</v>
      </c>
      <c r="N137" s="487"/>
      <c r="O137" s="478">
        <f t="shared" si="24"/>
        <v>0</v>
      </c>
      <c r="P137" s="478">
        <f t="shared" si="25"/>
        <v>0</v>
      </c>
    </row>
    <row r="138" spans="2:16">
      <c r="B138" s="160" t="str">
        <f t="shared" si="16"/>
        <v/>
      </c>
      <c r="C138" s="472">
        <f>IF(D93="","-",+C137+1)</f>
        <v>2056</v>
      </c>
      <c r="D138" s="347">
        <f>IF(F137+SUM(E$99:E137)=D$92,F137,D$92-SUM(E$99:E137))</f>
        <v>79181</v>
      </c>
      <c r="E138" s="484">
        <f t="shared" si="17"/>
        <v>32658</v>
      </c>
      <c r="F138" s="485">
        <f t="shared" si="18"/>
        <v>46523</v>
      </c>
      <c r="G138" s="485">
        <f t="shared" si="19"/>
        <v>62852</v>
      </c>
      <c r="H138" s="486">
        <f t="shared" si="20"/>
        <v>39810.10462761356</v>
      </c>
      <c r="I138" s="542">
        <f t="shared" si="21"/>
        <v>39810.10462761356</v>
      </c>
      <c r="J138" s="478">
        <f t="shared" si="22"/>
        <v>0</v>
      </c>
      <c r="K138" s="478"/>
      <c r="L138" s="487"/>
      <c r="M138" s="478">
        <f t="shared" si="23"/>
        <v>0</v>
      </c>
      <c r="N138" s="487"/>
      <c r="O138" s="478">
        <f t="shared" si="24"/>
        <v>0</v>
      </c>
      <c r="P138" s="478">
        <f t="shared" si="25"/>
        <v>0</v>
      </c>
    </row>
    <row r="139" spans="2:16">
      <c r="B139" s="160" t="str">
        <f t="shared" si="16"/>
        <v/>
      </c>
      <c r="C139" s="472">
        <f>IF(D93="","-",+C138+1)</f>
        <v>2057</v>
      </c>
      <c r="D139" s="347">
        <f>IF(F138+SUM(E$99:E138)=D$92,F138,D$92-SUM(E$99:E138))</f>
        <v>46523</v>
      </c>
      <c r="E139" s="484">
        <f t="shared" si="17"/>
        <v>32658</v>
      </c>
      <c r="F139" s="485">
        <f t="shared" si="18"/>
        <v>13865</v>
      </c>
      <c r="G139" s="485">
        <f t="shared" si="19"/>
        <v>30194</v>
      </c>
      <c r="H139" s="486">
        <f t="shared" si="20"/>
        <v>36093.859592792018</v>
      </c>
      <c r="I139" s="542">
        <f t="shared" si="21"/>
        <v>36093.859592792018</v>
      </c>
      <c r="J139" s="478">
        <f t="shared" si="22"/>
        <v>0</v>
      </c>
      <c r="K139" s="478"/>
      <c r="L139" s="487"/>
      <c r="M139" s="478">
        <f t="shared" si="23"/>
        <v>0</v>
      </c>
      <c r="N139" s="487"/>
      <c r="O139" s="478">
        <f t="shared" si="24"/>
        <v>0</v>
      </c>
      <c r="P139" s="478">
        <f t="shared" si="25"/>
        <v>0</v>
      </c>
    </row>
    <row r="140" spans="2:16">
      <c r="B140" s="160" t="str">
        <f t="shared" si="16"/>
        <v/>
      </c>
      <c r="C140" s="472">
        <f>IF(D93="","-",+C139+1)</f>
        <v>2058</v>
      </c>
      <c r="D140" s="347">
        <f>IF(F139+SUM(E$99:E139)=D$92,F139,D$92-SUM(E$99:E139))</f>
        <v>13865</v>
      </c>
      <c r="E140" s="484">
        <f t="shared" si="17"/>
        <v>13865</v>
      </c>
      <c r="F140" s="485">
        <f t="shared" si="18"/>
        <v>0</v>
      </c>
      <c r="G140" s="485">
        <f t="shared" si="19"/>
        <v>6932.5</v>
      </c>
      <c r="H140" s="486">
        <f t="shared" si="20"/>
        <v>14653.868537690623</v>
      </c>
      <c r="I140" s="542">
        <f t="shared" si="21"/>
        <v>14653.868537690623</v>
      </c>
      <c r="J140" s="478">
        <f t="shared" si="22"/>
        <v>0</v>
      </c>
      <c r="K140" s="478"/>
      <c r="L140" s="487"/>
      <c r="M140" s="478">
        <f t="shared" si="23"/>
        <v>0</v>
      </c>
      <c r="N140" s="487"/>
      <c r="O140" s="478">
        <f t="shared" si="24"/>
        <v>0</v>
      </c>
      <c r="P140" s="478">
        <f t="shared" si="25"/>
        <v>0</v>
      </c>
    </row>
    <row r="141" spans="2:16">
      <c r="B141" s="160" t="str">
        <f t="shared" si="16"/>
        <v/>
      </c>
      <c r="C141" s="472">
        <f>IF(D93="","-",+C140+1)</f>
        <v>2059</v>
      </c>
      <c r="D141" s="347">
        <f>IF(F140+SUM(E$99:E140)=D$92,F140,D$92-SUM(E$99:E140))</f>
        <v>0</v>
      </c>
      <c r="E141" s="484">
        <f t="shared" si="17"/>
        <v>0</v>
      </c>
      <c r="F141" s="485">
        <f t="shared" si="18"/>
        <v>0</v>
      </c>
      <c r="G141" s="485">
        <f t="shared" si="19"/>
        <v>0</v>
      </c>
      <c r="H141" s="486">
        <f t="shared" si="20"/>
        <v>0</v>
      </c>
      <c r="I141" s="542">
        <f t="shared" si="21"/>
        <v>0</v>
      </c>
      <c r="J141" s="478">
        <f t="shared" si="22"/>
        <v>0</v>
      </c>
      <c r="K141" s="478"/>
      <c r="L141" s="487"/>
      <c r="M141" s="478">
        <f t="shared" si="23"/>
        <v>0</v>
      </c>
      <c r="N141" s="487"/>
      <c r="O141" s="478">
        <f t="shared" si="24"/>
        <v>0</v>
      </c>
      <c r="P141" s="478">
        <f t="shared" si="25"/>
        <v>0</v>
      </c>
    </row>
    <row r="142" spans="2:16">
      <c r="B142" s="160" t="str">
        <f t="shared" si="16"/>
        <v/>
      </c>
      <c r="C142" s="472">
        <f>IF(D93="","-",+C141+1)</f>
        <v>2060</v>
      </c>
      <c r="D142" s="347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486">
        <f t="shared" si="20"/>
        <v>0</v>
      </c>
      <c r="I142" s="542">
        <f t="shared" si="21"/>
        <v>0</v>
      </c>
      <c r="J142" s="478">
        <f t="shared" si="22"/>
        <v>0</v>
      </c>
      <c r="K142" s="478"/>
      <c r="L142" s="487"/>
      <c r="M142" s="478">
        <f t="shared" si="23"/>
        <v>0</v>
      </c>
      <c r="N142" s="487"/>
      <c r="O142" s="478">
        <f t="shared" si="24"/>
        <v>0</v>
      </c>
      <c r="P142" s="478">
        <f t="shared" si="25"/>
        <v>0</v>
      </c>
    </row>
    <row r="143" spans="2:16">
      <c r="B143" s="160" t="str">
        <f t="shared" si="16"/>
        <v/>
      </c>
      <c r="C143" s="472">
        <f>IF(D93="","-",+C142+1)</f>
        <v>2061</v>
      </c>
      <c r="D143" s="347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486">
        <f t="shared" si="20"/>
        <v>0</v>
      </c>
      <c r="I143" s="542">
        <f t="shared" si="21"/>
        <v>0</v>
      </c>
      <c r="J143" s="478">
        <f t="shared" si="22"/>
        <v>0</v>
      </c>
      <c r="K143" s="478"/>
      <c r="L143" s="487"/>
      <c r="M143" s="478">
        <f t="shared" si="23"/>
        <v>0</v>
      </c>
      <c r="N143" s="487"/>
      <c r="O143" s="478">
        <f t="shared" si="24"/>
        <v>0</v>
      </c>
      <c r="P143" s="478">
        <f t="shared" si="25"/>
        <v>0</v>
      </c>
    </row>
    <row r="144" spans="2:16">
      <c r="B144" s="160" t="str">
        <f t="shared" si="16"/>
        <v/>
      </c>
      <c r="C144" s="472">
        <f>IF(D93="","-",+C143+1)</f>
        <v>2062</v>
      </c>
      <c r="D144" s="347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486">
        <f t="shared" si="20"/>
        <v>0</v>
      </c>
      <c r="I144" s="542">
        <f t="shared" si="21"/>
        <v>0</v>
      </c>
      <c r="J144" s="478">
        <f t="shared" si="22"/>
        <v>0</v>
      </c>
      <c r="K144" s="478"/>
      <c r="L144" s="487"/>
      <c r="M144" s="478">
        <f t="shared" si="23"/>
        <v>0</v>
      </c>
      <c r="N144" s="487"/>
      <c r="O144" s="478">
        <f t="shared" si="24"/>
        <v>0</v>
      </c>
      <c r="P144" s="478">
        <f t="shared" si="25"/>
        <v>0</v>
      </c>
    </row>
    <row r="145" spans="2:16">
      <c r="B145" s="160" t="str">
        <f t="shared" si="16"/>
        <v/>
      </c>
      <c r="C145" s="472">
        <f>IF(D93="","-",+C144+1)</f>
        <v>2063</v>
      </c>
      <c r="D145" s="347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486">
        <f t="shared" si="20"/>
        <v>0</v>
      </c>
      <c r="I145" s="542">
        <f t="shared" si="21"/>
        <v>0</v>
      </c>
      <c r="J145" s="478">
        <f t="shared" si="22"/>
        <v>0</v>
      </c>
      <c r="K145" s="478"/>
      <c r="L145" s="487"/>
      <c r="M145" s="478">
        <f t="shared" si="23"/>
        <v>0</v>
      </c>
      <c r="N145" s="487"/>
      <c r="O145" s="478">
        <f t="shared" si="24"/>
        <v>0</v>
      </c>
      <c r="P145" s="478">
        <f t="shared" si="25"/>
        <v>0</v>
      </c>
    </row>
    <row r="146" spans="2:16">
      <c r="B146" s="160" t="str">
        <f t="shared" si="16"/>
        <v/>
      </c>
      <c r="C146" s="472">
        <f>IF(D93="","-",+C145+1)</f>
        <v>2064</v>
      </c>
      <c r="D146" s="347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486">
        <f t="shared" si="20"/>
        <v>0</v>
      </c>
      <c r="I146" s="542">
        <f t="shared" si="21"/>
        <v>0</v>
      </c>
      <c r="J146" s="478">
        <f t="shared" si="22"/>
        <v>0</v>
      </c>
      <c r="K146" s="478"/>
      <c r="L146" s="487"/>
      <c r="M146" s="478">
        <f t="shared" si="23"/>
        <v>0</v>
      </c>
      <c r="N146" s="487"/>
      <c r="O146" s="478">
        <f t="shared" si="24"/>
        <v>0</v>
      </c>
      <c r="P146" s="478">
        <f t="shared" si="25"/>
        <v>0</v>
      </c>
    </row>
    <row r="147" spans="2:16">
      <c r="B147" s="160" t="str">
        <f t="shared" si="16"/>
        <v/>
      </c>
      <c r="C147" s="472">
        <f>IF(D93="","-",+C146+1)</f>
        <v>2065</v>
      </c>
      <c r="D147" s="347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486">
        <f t="shared" si="20"/>
        <v>0</v>
      </c>
      <c r="I147" s="542">
        <f t="shared" si="21"/>
        <v>0</v>
      </c>
      <c r="J147" s="478">
        <f t="shared" si="22"/>
        <v>0</v>
      </c>
      <c r="K147" s="478"/>
      <c r="L147" s="487"/>
      <c r="M147" s="478">
        <f t="shared" si="23"/>
        <v>0</v>
      </c>
      <c r="N147" s="487"/>
      <c r="O147" s="478">
        <f t="shared" si="24"/>
        <v>0</v>
      </c>
      <c r="P147" s="478">
        <f t="shared" si="25"/>
        <v>0</v>
      </c>
    </row>
    <row r="148" spans="2:16">
      <c r="B148" s="160" t="str">
        <f t="shared" si="16"/>
        <v/>
      </c>
      <c r="C148" s="472">
        <f>IF(D93="","-",+C147+1)</f>
        <v>2066</v>
      </c>
      <c r="D148" s="347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486">
        <f t="shared" si="20"/>
        <v>0</v>
      </c>
      <c r="I148" s="542">
        <f t="shared" si="21"/>
        <v>0</v>
      </c>
      <c r="J148" s="478">
        <f t="shared" si="22"/>
        <v>0</v>
      </c>
      <c r="K148" s="478"/>
      <c r="L148" s="487"/>
      <c r="M148" s="478">
        <f t="shared" si="23"/>
        <v>0</v>
      </c>
      <c r="N148" s="487"/>
      <c r="O148" s="478">
        <f t="shared" si="24"/>
        <v>0</v>
      </c>
      <c r="P148" s="478">
        <f t="shared" si="25"/>
        <v>0</v>
      </c>
    </row>
    <row r="149" spans="2:16">
      <c r="B149" s="160" t="str">
        <f t="shared" si="16"/>
        <v/>
      </c>
      <c r="C149" s="472">
        <f>IF(D93="","-",+C148+1)</f>
        <v>2067</v>
      </c>
      <c r="D149" s="347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486">
        <f t="shared" si="20"/>
        <v>0</v>
      </c>
      <c r="I149" s="542">
        <f t="shared" si="21"/>
        <v>0</v>
      </c>
      <c r="J149" s="478">
        <f t="shared" si="22"/>
        <v>0</v>
      </c>
      <c r="K149" s="478"/>
      <c r="L149" s="487"/>
      <c r="M149" s="478">
        <f t="shared" si="23"/>
        <v>0</v>
      </c>
      <c r="N149" s="487"/>
      <c r="O149" s="478">
        <f t="shared" si="24"/>
        <v>0</v>
      </c>
      <c r="P149" s="478">
        <f t="shared" si="25"/>
        <v>0</v>
      </c>
    </row>
    <row r="150" spans="2:16">
      <c r="B150" s="160" t="str">
        <f t="shared" si="16"/>
        <v/>
      </c>
      <c r="C150" s="472">
        <f>IF(D93="","-",+C149+1)</f>
        <v>2068</v>
      </c>
      <c r="D150" s="347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486">
        <f t="shared" si="20"/>
        <v>0</v>
      </c>
      <c r="I150" s="542">
        <f t="shared" si="21"/>
        <v>0</v>
      </c>
      <c r="J150" s="478">
        <f t="shared" si="22"/>
        <v>0</v>
      </c>
      <c r="K150" s="478"/>
      <c r="L150" s="487"/>
      <c r="M150" s="478">
        <f t="shared" si="23"/>
        <v>0</v>
      </c>
      <c r="N150" s="487"/>
      <c r="O150" s="478">
        <f t="shared" si="24"/>
        <v>0</v>
      </c>
      <c r="P150" s="478">
        <f t="shared" si="25"/>
        <v>0</v>
      </c>
    </row>
    <row r="151" spans="2:16">
      <c r="B151" s="160" t="str">
        <f t="shared" si="16"/>
        <v/>
      </c>
      <c r="C151" s="472">
        <f>IF(D93="","-",+C150+1)</f>
        <v>2069</v>
      </c>
      <c r="D151" s="347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486">
        <f t="shared" si="20"/>
        <v>0</v>
      </c>
      <c r="I151" s="542">
        <f t="shared" si="21"/>
        <v>0</v>
      </c>
      <c r="J151" s="478">
        <f t="shared" si="22"/>
        <v>0</v>
      </c>
      <c r="K151" s="478"/>
      <c r="L151" s="487"/>
      <c r="M151" s="478">
        <f t="shared" si="23"/>
        <v>0</v>
      </c>
      <c r="N151" s="487"/>
      <c r="O151" s="478">
        <f t="shared" si="24"/>
        <v>0</v>
      </c>
      <c r="P151" s="478">
        <f t="shared" si="25"/>
        <v>0</v>
      </c>
    </row>
    <row r="152" spans="2:16">
      <c r="B152" s="160" t="str">
        <f t="shared" si="16"/>
        <v/>
      </c>
      <c r="C152" s="472">
        <f>IF(D93="","-",+C151+1)</f>
        <v>2070</v>
      </c>
      <c r="D152" s="347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486">
        <f t="shared" si="20"/>
        <v>0</v>
      </c>
      <c r="I152" s="542">
        <f t="shared" si="21"/>
        <v>0</v>
      </c>
      <c r="J152" s="478">
        <f t="shared" si="22"/>
        <v>0</v>
      </c>
      <c r="K152" s="478"/>
      <c r="L152" s="487"/>
      <c r="M152" s="478">
        <f t="shared" si="23"/>
        <v>0</v>
      </c>
      <c r="N152" s="487"/>
      <c r="O152" s="478">
        <f t="shared" si="24"/>
        <v>0</v>
      </c>
      <c r="P152" s="478">
        <f t="shared" si="25"/>
        <v>0</v>
      </c>
    </row>
    <row r="153" spans="2:16">
      <c r="B153" s="160" t="str">
        <f t="shared" si="16"/>
        <v/>
      </c>
      <c r="C153" s="472">
        <f>IF(D93="","-",+C152+1)</f>
        <v>2071</v>
      </c>
      <c r="D153" s="347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486">
        <f t="shared" si="20"/>
        <v>0</v>
      </c>
      <c r="I153" s="542">
        <f t="shared" si="21"/>
        <v>0</v>
      </c>
      <c r="J153" s="478">
        <f t="shared" si="22"/>
        <v>0</v>
      </c>
      <c r="K153" s="478"/>
      <c r="L153" s="487"/>
      <c r="M153" s="478">
        <f t="shared" si="23"/>
        <v>0</v>
      </c>
      <c r="N153" s="487"/>
      <c r="O153" s="478">
        <f t="shared" si="24"/>
        <v>0</v>
      </c>
      <c r="P153" s="478">
        <f t="shared" si="25"/>
        <v>0</v>
      </c>
    </row>
    <row r="154" spans="2:16" ht="13.5" thickBot="1">
      <c r="B154" s="160" t="str">
        <f t="shared" si="16"/>
        <v/>
      </c>
      <c r="C154" s="489">
        <f>IF(D93="","-",+C153+1)</f>
        <v>2072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3">
        <f t="shared" ref="H154" si="26">+J$94*G154+E154</f>
        <v>0</v>
      </c>
      <c r="I154" s="614">
        <f t="shared" ref="I154" si="27">+J$95*G154+E154</f>
        <v>0</v>
      </c>
      <c r="J154" s="495">
        <f t="shared" si="22"/>
        <v>0</v>
      </c>
      <c r="K154" s="478"/>
      <c r="L154" s="494"/>
      <c r="M154" s="495">
        <f t="shared" si="23"/>
        <v>0</v>
      </c>
      <c r="N154" s="494"/>
      <c r="O154" s="495">
        <f t="shared" si="24"/>
        <v>0</v>
      </c>
      <c r="P154" s="495">
        <f t="shared" si="25"/>
        <v>0</v>
      </c>
    </row>
    <row r="155" spans="2:16">
      <c r="C155" s="347" t="s">
        <v>77</v>
      </c>
      <c r="D155" s="348"/>
      <c r="E155" s="348">
        <f>SUM(E99:E154)</f>
        <v>1338978</v>
      </c>
      <c r="F155" s="348"/>
      <c r="G155" s="348"/>
      <c r="H155" s="348">
        <f>SUM(H99:H154)</f>
        <v>4432807.2801356148</v>
      </c>
      <c r="I155" s="348">
        <f>SUM(I99:I154)</f>
        <v>4432807.2801356148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23" priority="1" stopIfTrue="1" operator="equal">
      <formula>$I$10</formula>
    </cfRule>
  </conditionalFormatting>
  <conditionalFormatting sqref="C99:C154">
    <cfRule type="cellIs" dxfId="22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69"/>
  <dimension ref="A1:P162"/>
  <sheetViews>
    <sheetView zoomScaleNormal="100" zoomScaleSheetLayoutView="78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20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245473.68855677257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245473.68855677257</v>
      </c>
      <c r="O6" s="233"/>
      <c r="P6" s="233"/>
    </row>
    <row r="7" spans="1:16" ht="13.5" thickBot="1">
      <c r="C7" s="431" t="s">
        <v>46</v>
      </c>
      <c r="D7" s="599" t="s">
        <v>282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298</v>
      </c>
      <c r="E9" s="577" t="s">
        <v>299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1961221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45609.79069767442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v>2017</v>
      </c>
      <c r="D17" s="584">
        <v>0</v>
      </c>
      <c r="E17" s="608">
        <v>0</v>
      </c>
      <c r="F17" s="584">
        <v>483000</v>
      </c>
      <c r="G17" s="608">
        <v>30733</v>
      </c>
      <c r="H17" s="587">
        <v>30733</v>
      </c>
      <c r="I17" s="475">
        <f t="shared" ref="I17:I72" si="0">H17-G17</f>
        <v>0</v>
      </c>
      <c r="J17" s="475"/>
      <c r="K17" s="477">
        <f>+G17</f>
        <v>30733</v>
      </c>
      <c r="L17" s="477">
        <f t="shared" ref="L17:L72" si="1">IF(K17&lt;&gt;0,+G17-K17,0)</f>
        <v>0</v>
      </c>
      <c r="M17" s="477">
        <f>+H17</f>
        <v>30733</v>
      </c>
      <c r="N17" s="477">
        <f t="shared" ref="N17:N72" si="2">IF(M17&lt;&gt;0,+H17-M17,0)</f>
        <v>0</v>
      </c>
      <c r="O17" s="478">
        <f t="shared" ref="O17:O72" si="3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2018</v>
      </c>
      <c r="D18" s="584">
        <v>0</v>
      </c>
      <c r="E18" s="585">
        <v>10555.555555555555</v>
      </c>
      <c r="F18" s="584">
        <v>1140000</v>
      </c>
      <c r="G18" s="585">
        <v>87696.739331146033</v>
      </c>
      <c r="H18" s="587">
        <v>87696.739331146033</v>
      </c>
      <c r="I18" s="475">
        <f t="shared" si="0"/>
        <v>0</v>
      </c>
      <c r="J18" s="475"/>
      <c r="K18" s="478">
        <f>+G18</f>
        <v>87696.739331146033</v>
      </c>
      <c r="L18" s="478">
        <f t="shared" si="1"/>
        <v>0</v>
      </c>
      <c r="M18" s="478">
        <f>+H18</f>
        <v>87696.739331146033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>IU</v>
      </c>
      <c r="C19" s="472">
        <f>IF(D11="","-",+C18+1)</f>
        <v>2019</v>
      </c>
      <c r="D19" s="584">
        <v>1129444.4444444445</v>
      </c>
      <c r="E19" s="585">
        <v>25333.333333333332</v>
      </c>
      <c r="F19" s="584">
        <v>1104111.1111111112</v>
      </c>
      <c r="G19" s="585">
        <v>176472.91191587914</v>
      </c>
      <c r="H19" s="587">
        <v>176472.91191587914</v>
      </c>
      <c r="I19" s="475">
        <f t="shared" si="0"/>
        <v>0</v>
      </c>
      <c r="J19" s="475"/>
      <c r="K19" s="478">
        <f>+G19</f>
        <v>176472.91191587914</v>
      </c>
      <c r="L19" s="478">
        <f t="shared" ref="L19" si="4">IF(K19&lt;&gt;0,+G19-K19,0)</f>
        <v>0</v>
      </c>
      <c r="M19" s="478">
        <f>+H19</f>
        <v>176472.91191587914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5">IF(D20=F19,"","IU")</f>
        <v>IU</v>
      </c>
      <c r="C20" s="472">
        <f>IF(D11="","-",+C19+1)</f>
        <v>2020</v>
      </c>
      <c r="D20" s="584">
        <v>1883840.111111111</v>
      </c>
      <c r="E20" s="585">
        <v>45707.833333333336</v>
      </c>
      <c r="F20" s="584">
        <v>1838132.2777777778</v>
      </c>
      <c r="G20" s="585">
        <v>246703.23209680832</v>
      </c>
      <c r="H20" s="587">
        <v>246703.23209680832</v>
      </c>
      <c r="I20" s="475">
        <f t="shared" si="0"/>
        <v>0</v>
      </c>
      <c r="J20" s="475"/>
      <c r="K20" s="478">
        <f>+G20</f>
        <v>246703.23209680832</v>
      </c>
      <c r="L20" s="478">
        <f t="shared" ref="L20" si="6">IF(K20&lt;&gt;0,+G20-K20,0)</f>
        <v>0</v>
      </c>
      <c r="M20" s="478">
        <f>+H20</f>
        <v>246703.23209680832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5"/>
        <v>IU</v>
      </c>
      <c r="C21" s="472">
        <f>IF(D11="","-",+C20+1)</f>
        <v>2021</v>
      </c>
      <c r="D21" s="584">
        <v>1876457.611111111</v>
      </c>
      <c r="E21" s="585">
        <v>45609.79069767442</v>
      </c>
      <c r="F21" s="584">
        <v>1830847.8204134365</v>
      </c>
      <c r="G21" s="585">
        <v>245473.68855677257</v>
      </c>
      <c r="H21" s="587">
        <v>245473.68855677257</v>
      </c>
      <c r="I21" s="475">
        <f t="shared" si="0"/>
        <v>0</v>
      </c>
      <c r="J21" s="475"/>
      <c r="K21" s="478">
        <f>+G21</f>
        <v>245473.68855677257</v>
      </c>
      <c r="L21" s="478">
        <f t="shared" ref="L21" si="7">IF(K21&lt;&gt;0,+G21-K21,0)</f>
        <v>0</v>
      </c>
      <c r="M21" s="478">
        <f>+H21</f>
        <v>245473.68855677257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si="5"/>
        <v>IU</v>
      </c>
      <c r="C22" s="472">
        <f>IF(D11="","-",+C21+1)</f>
        <v>2022</v>
      </c>
      <c r="D22" s="483">
        <f>IF(F21+SUM(E$17:E21)=D$10,F21,D$10-SUM(E$17:E21))</f>
        <v>1834014.4870801033</v>
      </c>
      <c r="E22" s="484">
        <f t="shared" ref="E22:E72" si="8">IF(+I$14&lt;F21,I$14,D22)</f>
        <v>45609.79069767442</v>
      </c>
      <c r="F22" s="485">
        <f t="shared" ref="F22:F72" si="9">+D22-E22</f>
        <v>1788404.6963824288</v>
      </c>
      <c r="G22" s="486">
        <f t="shared" ref="G22:G72" si="10">(D22+F22)/2*I$12+E22</f>
        <v>254000.92870427293</v>
      </c>
      <c r="H22" s="455">
        <f t="shared" ref="H22:H72" si="11">+(D22+F22)/2*I$13+E22</f>
        <v>254000.92870427293</v>
      </c>
      <c r="I22" s="475">
        <f t="shared" si="0"/>
        <v>0</v>
      </c>
      <c r="J22" s="475"/>
      <c r="K22" s="487"/>
      <c r="L22" s="478">
        <f t="shared" si="1"/>
        <v>0</v>
      </c>
      <c r="M22" s="487"/>
      <c r="N22" s="478">
        <f t="shared" si="2"/>
        <v>0</v>
      </c>
      <c r="O22" s="478">
        <f t="shared" si="3"/>
        <v>0</v>
      </c>
      <c r="P22" s="243"/>
    </row>
    <row r="23" spans="2:16">
      <c r="B23" s="160" t="str">
        <f t="shared" si="5"/>
        <v/>
      </c>
      <c r="C23" s="472">
        <f>IF(D11="","-",+C22+1)</f>
        <v>2023</v>
      </c>
      <c r="D23" s="483">
        <f>IF(F22+SUM(E$17:E22)=D$10,F22,D$10-SUM(E$17:E22))</f>
        <v>1788404.6963824288</v>
      </c>
      <c r="E23" s="484">
        <f t="shared" si="8"/>
        <v>45609.79069767442</v>
      </c>
      <c r="F23" s="485">
        <f t="shared" si="9"/>
        <v>1742794.9056847543</v>
      </c>
      <c r="G23" s="486">
        <f t="shared" si="10"/>
        <v>248753.23333476792</v>
      </c>
      <c r="H23" s="455">
        <f t="shared" si="11"/>
        <v>248753.23333476792</v>
      </c>
      <c r="I23" s="475">
        <f t="shared" si="0"/>
        <v>0</v>
      </c>
      <c r="J23" s="475"/>
      <c r="K23" s="487"/>
      <c r="L23" s="478">
        <f t="shared" si="1"/>
        <v>0</v>
      </c>
      <c r="M23" s="487"/>
      <c r="N23" s="478">
        <f t="shared" si="2"/>
        <v>0</v>
      </c>
      <c r="O23" s="478">
        <f t="shared" si="3"/>
        <v>0</v>
      </c>
      <c r="P23" s="243"/>
    </row>
    <row r="24" spans="2:16">
      <c r="B24" s="160" t="str">
        <f t="shared" si="5"/>
        <v/>
      </c>
      <c r="C24" s="472">
        <f>IF(D11="","-",+C23+1)</f>
        <v>2024</v>
      </c>
      <c r="D24" s="483">
        <f>IF(F23+SUM(E$17:E23)=D$10,F23,D$10-SUM(E$17:E23))</f>
        <v>1742794.9056847543</v>
      </c>
      <c r="E24" s="484">
        <f t="shared" si="8"/>
        <v>45609.79069767442</v>
      </c>
      <c r="F24" s="485">
        <f t="shared" si="9"/>
        <v>1697185.1149870798</v>
      </c>
      <c r="G24" s="486">
        <f t="shared" si="10"/>
        <v>243505.53796526298</v>
      </c>
      <c r="H24" s="455">
        <f t="shared" si="11"/>
        <v>243505.53796526298</v>
      </c>
      <c r="I24" s="475">
        <f t="shared" si="0"/>
        <v>0</v>
      </c>
      <c r="J24" s="475"/>
      <c r="K24" s="487"/>
      <c r="L24" s="478">
        <f t="shared" si="1"/>
        <v>0</v>
      </c>
      <c r="M24" s="487"/>
      <c r="N24" s="478">
        <f t="shared" si="2"/>
        <v>0</v>
      </c>
      <c r="O24" s="478">
        <f t="shared" si="3"/>
        <v>0</v>
      </c>
      <c r="P24" s="243"/>
    </row>
    <row r="25" spans="2:16">
      <c r="B25" s="160" t="str">
        <f t="shared" si="5"/>
        <v/>
      </c>
      <c r="C25" s="472">
        <f>IF(D11="","-",+C24+1)</f>
        <v>2025</v>
      </c>
      <c r="D25" s="483">
        <f>IF(F24+SUM(E$17:E24)=D$10,F24,D$10-SUM(E$17:E24))</f>
        <v>1697185.1149870798</v>
      </c>
      <c r="E25" s="484">
        <f t="shared" si="8"/>
        <v>45609.79069767442</v>
      </c>
      <c r="F25" s="485">
        <f t="shared" si="9"/>
        <v>1651575.3242894053</v>
      </c>
      <c r="G25" s="486">
        <f t="shared" si="10"/>
        <v>238257.84259575797</v>
      </c>
      <c r="H25" s="455">
        <f t="shared" si="11"/>
        <v>238257.84259575797</v>
      </c>
      <c r="I25" s="475">
        <f t="shared" si="0"/>
        <v>0</v>
      </c>
      <c r="J25" s="475"/>
      <c r="K25" s="487"/>
      <c r="L25" s="478">
        <f t="shared" si="1"/>
        <v>0</v>
      </c>
      <c r="M25" s="487"/>
      <c r="N25" s="478">
        <f t="shared" si="2"/>
        <v>0</v>
      </c>
      <c r="O25" s="478">
        <f t="shared" si="3"/>
        <v>0</v>
      </c>
      <c r="P25" s="243"/>
    </row>
    <row r="26" spans="2:16">
      <c r="B26" s="160" t="str">
        <f t="shared" si="5"/>
        <v/>
      </c>
      <c r="C26" s="472">
        <f>IF(D11="","-",+C25+1)</f>
        <v>2026</v>
      </c>
      <c r="D26" s="483">
        <f>IF(F25+SUM(E$17:E25)=D$10,F25,D$10-SUM(E$17:E25))</f>
        <v>1651575.3242894053</v>
      </c>
      <c r="E26" s="484">
        <f t="shared" si="8"/>
        <v>45609.79069767442</v>
      </c>
      <c r="F26" s="485">
        <f t="shared" si="9"/>
        <v>1605965.5335917308</v>
      </c>
      <c r="G26" s="486">
        <f t="shared" si="10"/>
        <v>233010.14722625303</v>
      </c>
      <c r="H26" s="455">
        <f t="shared" si="11"/>
        <v>233010.14722625303</v>
      </c>
      <c r="I26" s="475">
        <f t="shared" si="0"/>
        <v>0</v>
      </c>
      <c r="J26" s="475"/>
      <c r="K26" s="487"/>
      <c r="L26" s="478">
        <f t="shared" si="1"/>
        <v>0</v>
      </c>
      <c r="M26" s="487"/>
      <c r="N26" s="478">
        <f t="shared" si="2"/>
        <v>0</v>
      </c>
      <c r="O26" s="478">
        <f t="shared" si="3"/>
        <v>0</v>
      </c>
      <c r="P26" s="243"/>
    </row>
    <row r="27" spans="2:16">
      <c r="B27" s="160" t="str">
        <f t="shared" si="5"/>
        <v/>
      </c>
      <c r="C27" s="472">
        <f>IF(D11="","-",+C26+1)</f>
        <v>2027</v>
      </c>
      <c r="D27" s="483">
        <f>IF(F26+SUM(E$17:E26)=D$10,F26,D$10-SUM(E$17:E26))</f>
        <v>1605965.5335917308</v>
      </c>
      <c r="E27" s="484">
        <f t="shared" si="8"/>
        <v>45609.79069767442</v>
      </c>
      <c r="F27" s="485">
        <f t="shared" si="9"/>
        <v>1560355.7428940563</v>
      </c>
      <c r="G27" s="486">
        <f t="shared" si="10"/>
        <v>227762.45185674803</v>
      </c>
      <c r="H27" s="455">
        <f t="shared" si="11"/>
        <v>227762.45185674803</v>
      </c>
      <c r="I27" s="475">
        <f t="shared" si="0"/>
        <v>0</v>
      </c>
      <c r="J27" s="475"/>
      <c r="K27" s="487"/>
      <c r="L27" s="478">
        <f t="shared" si="1"/>
        <v>0</v>
      </c>
      <c r="M27" s="487"/>
      <c r="N27" s="478">
        <f t="shared" si="2"/>
        <v>0</v>
      </c>
      <c r="O27" s="478">
        <f t="shared" si="3"/>
        <v>0</v>
      </c>
      <c r="P27" s="243"/>
    </row>
    <row r="28" spans="2:16">
      <c r="B28" s="160" t="str">
        <f t="shared" si="5"/>
        <v/>
      </c>
      <c r="C28" s="472">
        <f>IF(D11="","-",+C27+1)</f>
        <v>2028</v>
      </c>
      <c r="D28" s="483">
        <f>IF(F27+SUM(E$17:E27)=D$10,F27,D$10-SUM(E$17:E27))</f>
        <v>1560355.7428940563</v>
      </c>
      <c r="E28" s="484">
        <f t="shared" si="8"/>
        <v>45609.79069767442</v>
      </c>
      <c r="F28" s="485">
        <f t="shared" si="9"/>
        <v>1514745.9521963818</v>
      </c>
      <c r="G28" s="486">
        <f t="shared" si="10"/>
        <v>222514.75648724308</v>
      </c>
      <c r="H28" s="455">
        <f t="shared" si="11"/>
        <v>222514.75648724308</v>
      </c>
      <c r="I28" s="475">
        <f t="shared" si="0"/>
        <v>0</v>
      </c>
      <c r="J28" s="475"/>
      <c r="K28" s="487"/>
      <c r="L28" s="478">
        <f t="shared" si="1"/>
        <v>0</v>
      </c>
      <c r="M28" s="487"/>
      <c r="N28" s="478">
        <f t="shared" si="2"/>
        <v>0</v>
      </c>
      <c r="O28" s="478">
        <f t="shared" si="3"/>
        <v>0</v>
      </c>
      <c r="P28" s="243"/>
    </row>
    <row r="29" spans="2:16">
      <c r="B29" s="160" t="str">
        <f t="shared" si="5"/>
        <v/>
      </c>
      <c r="C29" s="472">
        <f>IF(D11="","-",+C28+1)</f>
        <v>2029</v>
      </c>
      <c r="D29" s="483">
        <f>IF(F28+SUM(E$17:E28)=D$10,F28,D$10-SUM(E$17:E28))</f>
        <v>1514745.9521963818</v>
      </c>
      <c r="E29" s="484">
        <f t="shared" si="8"/>
        <v>45609.79069767442</v>
      </c>
      <c r="F29" s="485">
        <f t="shared" si="9"/>
        <v>1469136.1614987073</v>
      </c>
      <c r="G29" s="486">
        <f t="shared" si="10"/>
        <v>217267.06111773808</v>
      </c>
      <c r="H29" s="455">
        <f t="shared" si="11"/>
        <v>217267.06111773808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3"/>
    </row>
    <row r="30" spans="2:16">
      <c r="B30" s="160" t="str">
        <f t="shared" si="5"/>
        <v/>
      </c>
      <c r="C30" s="472">
        <f>IF(D11="","-",+C29+1)</f>
        <v>2030</v>
      </c>
      <c r="D30" s="483">
        <f>IF(F29+SUM(E$17:E29)=D$10,F29,D$10-SUM(E$17:E29))</f>
        <v>1469136.1614987073</v>
      </c>
      <c r="E30" s="484">
        <f t="shared" si="8"/>
        <v>45609.79069767442</v>
      </c>
      <c r="F30" s="485">
        <f t="shared" si="9"/>
        <v>1423526.3708010328</v>
      </c>
      <c r="G30" s="486">
        <f t="shared" si="10"/>
        <v>212019.36574823313</v>
      </c>
      <c r="H30" s="455">
        <f t="shared" si="11"/>
        <v>212019.36574823313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5"/>
        <v/>
      </c>
      <c r="C31" s="472">
        <f>IF(D11="","-",+C30+1)</f>
        <v>2031</v>
      </c>
      <c r="D31" s="483">
        <f>IF(F30+SUM(E$17:E30)=D$10,F30,D$10-SUM(E$17:E30))</f>
        <v>1423526.3708010328</v>
      </c>
      <c r="E31" s="484">
        <f t="shared" si="8"/>
        <v>45609.79069767442</v>
      </c>
      <c r="F31" s="485">
        <f t="shared" si="9"/>
        <v>1377916.5801033583</v>
      </c>
      <c r="G31" s="486">
        <f t="shared" si="10"/>
        <v>206771.67037872813</v>
      </c>
      <c r="H31" s="455">
        <f t="shared" si="11"/>
        <v>206771.67037872813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5"/>
        <v/>
      </c>
      <c r="C32" s="472">
        <f>IF(D11="","-",+C31+1)</f>
        <v>2032</v>
      </c>
      <c r="D32" s="483">
        <f>IF(F31+SUM(E$17:E31)=D$10,F31,D$10-SUM(E$17:E31))</f>
        <v>1377916.5801033583</v>
      </c>
      <c r="E32" s="484">
        <f t="shared" si="8"/>
        <v>45609.79069767442</v>
      </c>
      <c r="F32" s="485">
        <f t="shared" si="9"/>
        <v>1332306.7894056838</v>
      </c>
      <c r="G32" s="486">
        <f t="shared" si="10"/>
        <v>201523.97500922318</v>
      </c>
      <c r="H32" s="455">
        <f t="shared" si="11"/>
        <v>201523.97500922318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5"/>
        <v/>
      </c>
      <c r="C33" s="472">
        <f>IF(D11="","-",+C32+1)</f>
        <v>2033</v>
      </c>
      <c r="D33" s="483">
        <f>IF(F32+SUM(E$17:E32)=D$10,F32,D$10-SUM(E$17:E32))</f>
        <v>1332306.7894056838</v>
      </c>
      <c r="E33" s="484">
        <f t="shared" si="8"/>
        <v>45609.79069767442</v>
      </c>
      <c r="F33" s="485">
        <f t="shared" si="9"/>
        <v>1286696.9987080093</v>
      </c>
      <c r="G33" s="486">
        <f t="shared" si="10"/>
        <v>196276.27963971818</v>
      </c>
      <c r="H33" s="455">
        <f t="shared" si="11"/>
        <v>196276.27963971818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5"/>
        <v/>
      </c>
      <c r="C34" s="472">
        <f>IF(D11="","-",+C33+1)</f>
        <v>2034</v>
      </c>
      <c r="D34" s="483">
        <f>IF(F33+SUM(E$17:E33)=D$10,F33,D$10-SUM(E$17:E33))</f>
        <v>1286696.9987080093</v>
      </c>
      <c r="E34" s="484">
        <f t="shared" si="8"/>
        <v>45609.79069767442</v>
      </c>
      <c r="F34" s="485">
        <f t="shared" si="9"/>
        <v>1241087.2080103348</v>
      </c>
      <c r="G34" s="486">
        <f t="shared" si="10"/>
        <v>191028.58427021324</v>
      </c>
      <c r="H34" s="455">
        <f t="shared" si="11"/>
        <v>191028.58427021324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5"/>
        <v/>
      </c>
      <c r="C35" s="472">
        <f>IF(D11="","-",+C34+1)</f>
        <v>2035</v>
      </c>
      <c r="D35" s="483">
        <f>IF(F34+SUM(E$17:E34)=D$10,F34,D$10-SUM(E$17:E34))</f>
        <v>1241087.2080103348</v>
      </c>
      <c r="E35" s="484">
        <f t="shared" si="8"/>
        <v>45609.79069767442</v>
      </c>
      <c r="F35" s="485">
        <f t="shared" si="9"/>
        <v>1195477.4173126603</v>
      </c>
      <c r="G35" s="486">
        <f t="shared" si="10"/>
        <v>185780.88890070823</v>
      </c>
      <c r="H35" s="455">
        <f t="shared" si="11"/>
        <v>185780.88890070823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5"/>
        <v/>
      </c>
      <c r="C36" s="472">
        <f>IF(D11="","-",+C35+1)</f>
        <v>2036</v>
      </c>
      <c r="D36" s="483">
        <f>IF(F35+SUM(E$17:E35)=D$10,F35,D$10-SUM(E$17:E35))</f>
        <v>1195477.4173126603</v>
      </c>
      <c r="E36" s="484">
        <f t="shared" si="8"/>
        <v>45609.79069767442</v>
      </c>
      <c r="F36" s="485">
        <f t="shared" si="9"/>
        <v>1149867.6266149858</v>
      </c>
      <c r="G36" s="486">
        <f t="shared" si="10"/>
        <v>180533.19353120329</v>
      </c>
      <c r="H36" s="455">
        <f t="shared" si="11"/>
        <v>180533.19353120329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5"/>
        <v/>
      </c>
      <c r="C37" s="472">
        <f>IF(D11="","-",+C36+1)</f>
        <v>2037</v>
      </c>
      <c r="D37" s="483">
        <f>IF(F36+SUM(E$17:E36)=D$10,F36,D$10-SUM(E$17:E36))</f>
        <v>1149867.6266149858</v>
      </c>
      <c r="E37" s="484">
        <f t="shared" si="8"/>
        <v>45609.79069767442</v>
      </c>
      <c r="F37" s="485">
        <f t="shared" si="9"/>
        <v>1104257.8359173113</v>
      </c>
      <c r="G37" s="486">
        <f t="shared" si="10"/>
        <v>175285.49816169828</v>
      </c>
      <c r="H37" s="455">
        <f t="shared" si="11"/>
        <v>175285.49816169828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5"/>
        <v/>
      </c>
      <c r="C38" s="472">
        <f>IF(D11="","-",+C37+1)</f>
        <v>2038</v>
      </c>
      <c r="D38" s="483">
        <f>IF(F37+SUM(E$17:E37)=D$10,F37,D$10-SUM(E$17:E37))</f>
        <v>1104257.8359173113</v>
      </c>
      <c r="E38" s="484">
        <f t="shared" si="8"/>
        <v>45609.79069767442</v>
      </c>
      <c r="F38" s="485">
        <f t="shared" si="9"/>
        <v>1058648.0452196368</v>
      </c>
      <c r="G38" s="486">
        <f t="shared" si="10"/>
        <v>170037.80279219334</v>
      </c>
      <c r="H38" s="455">
        <f t="shared" si="11"/>
        <v>170037.80279219334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5"/>
        <v/>
      </c>
      <c r="C39" s="472">
        <f>IF(D11="","-",+C38+1)</f>
        <v>2039</v>
      </c>
      <c r="D39" s="483">
        <f>IF(F38+SUM(E$17:E38)=D$10,F38,D$10-SUM(E$17:E38))</f>
        <v>1058648.0452196368</v>
      </c>
      <c r="E39" s="484">
        <f t="shared" si="8"/>
        <v>45609.79069767442</v>
      </c>
      <c r="F39" s="485">
        <f t="shared" si="9"/>
        <v>1013038.2545219624</v>
      </c>
      <c r="G39" s="486">
        <f t="shared" si="10"/>
        <v>164790.10742268836</v>
      </c>
      <c r="H39" s="455">
        <f t="shared" si="11"/>
        <v>164790.10742268836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5"/>
        <v/>
      </c>
      <c r="C40" s="472">
        <f>IF(D11="","-",+C39+1)</f>
        <v>2040</v>
      </c>
      <c r="D40" s="483">
        <f>IF(F39+SUM(E$17:E39)=D$10,F39,D$10-SUM(E$17:E39))</f>
        <v>1013038.2545219624</v>
      </c>
      <c r="E40" s="484">
        <f t="shared" si="8"/>
        <v>45609.79069767442</v>
      </c>
      <c r="F40" s="485">
        <f t="shared" si="9"/>
        <v>967428.46382428799</v>
      </c>
      <c r="G40" s="486">
        <f t="shared" si="10"/>
        <v>159542.41205318339</v>
      </c>
      <c r="H40" s="455">
        <f t="shared" si="11"/>
        <v>159542.41205318339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5"/>
        <v/>
      </c>
      <c r="C41" s="472">
        <f>IF(D11="","-",+C40+1)</f>
        <v>2041</v>
      </c>
      <c r="D41" s="483">
        <f>IF(F40+SUM(E$17:E40)=D$10,F40,D$10-SUM(E$17:E40))</f>
        <v>967428.46382428799</v>
      </c>
      <c r="E41" s="484">
        <f t="shared" si="8"/>
        <v>45609.79069767442</v>
      </c>
      <c r="F41" s="485">
        <f t="shared" si="9"/>
        <v>921818.6731266136</v>
      </c>
      <c r="G41" s="486">
        <f t="shared" si="10"/>
        <v>154294.71668367845</v>
      </c>
      <c r="H41" s="455">
        <f t="shared" si="11"/>
        <v>154294.71668367845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5"/>
        <v/>
      </c>
      <c r="C42" s="472">
        <f>IF(D11="","-",+C41+1)</f>
        <v>2042</v>
      </c>
      <c r="D42" s="483">
        <f>IF(F41+SUM(E$17:E41)=D$10,F41,D$10-SUM(E$17:E41))</f>
        <v>921818.6731266136</v>
      </c>
      <c r="E42" s="484">
        <f t="shared" si="8"/>
        <v>45609.79069767442</v>
      </c>
      <c r="F42" s="485">
        <f t="shared" si="9"/>
        <v>876208.88242893922</v>
      </c>
      <c r="G42" s="486">
        <f t="shared" si="10"/>
        <v>149047.02131417347</v>
      </c>
      <c r="H42" s="455">
        <f t="shared" si="11"/>
        <v>149047.02131417347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5"/>
        <v/>
      </c>
      <c r="C43" s="472">
        <f>IF(D11="","-",+C42+1)</f>
        <v>2043</v>
      </c>
      <c r="D43" s="483">
        <f>IF(F42+SUM(E$17:E42)=D$10,F42,D$10-SUM(E$17:E42))</f>
        <v>876208.88242893922</v>
      </c>
      <c r="E43" s="484">
        <f t="shared" si="8"/>
        <v>45609.79069767442</v>
      </c>
      <c r="F43" s="485">
        <f t="shared" si="9"/>
        <v>830599.09173126484</v>
      </c>
      <c r="G43" s="486">
        <f t="shared" si="10"/>
        <v>143799.32594466853</v>
      </c>
      <c r="H43" s="455">
        <f t="shared" si="11"/>
        <v>143799.32594466853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5"/>
        <v/>
      </c>
      <c r="C44" s="472">
        <f>IF(D11="","-",+C43+1)</f>
        <v>2044</v>
      </c>
      <c r="D44" s="483">
        <f>IF(F43+SUM(E$17:E43)=D$10,F43,D$10-SUM(E$17:E43))</f>
        <v>830599.09173126484</v>
      </c>
      <c r="E44" s="484">
        <f t="shared" si="8"/>
        <v>45609.79069767442</v>
      </c>
      <c r="F44" s="485">
        <f t="shared" si="9"/>
        <v>784989.30103359045</v>
      </c>
      <c r="G44" s="486">
        <f t="shared" si="10"/>
        <v>138551.63057516355</v>
      </c>
      <c r="H44" s="455">
        <f t="shared" si="11"/>
        <v>138551.63057516355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5"/>
        <v/>
      </c>
      <c r="C45" s="472">
        <f>IF(D11="","-",+C44+1)</f>
        <v>2045</v>
      </c>
      <c r="D45" s="483">
        <f>IF(F44+SUM(E$17:E44)=D$10,F44,D$10-SUM(E$17:E44))</f>
        <v>784989.30103359045</v>
      </c>
      <c r="E45" s="484">
        <f t="shared" si="8"/>
        <v>45609.79069767442</v>
      </c>
      <c r="F45" s="485">
        <f t="shared" si="9"/>
        <v>739379.51033591607</v>
      </c>
      <c r="G45" s="486">
        <f t="shared" si="10"/>
        <v>133303.93520565861</v>
      </c>
      <c r="H45" s="455">
        <f t="shared" si="11"/>
        <v>133303.93520565861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5"/>
        <v/>
      </c>
      <c r="C46" s="472">
        <f>IF(D11="","-",+C45+1)</f>
        <v>2046</v>
      </c>
      <c r="D46" s="483">
        <f>IF(F45+SUM(E$17:E45)=D$10,F45,D$10-SUM(E$17:E45))</f>
        <v>739379.51033591607</v>
      </c>
      <c r="E46" s="484">
        <f t="shared" si="8"/>
        <v>45609.79069767442</v>
      </c>
      <c r="F46" s="485">
        <f t="shared" si="9"/>
        <v>693769.71963824169</v>
      </c>
      <c r="G46" s="486">
        <f t="shared" si="10"/>
        <v>128056.23983615363</v>
      </c>
      <c r="H46" s="455">
        <f t="shared" si="11"/>
        <v>128056.23983615363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5"/>
        <v/>
      </c>
      <c r="C47" s="472">
        <f>IF(D11="","-",+C46+1)</f>
        <v>2047</v>
      </c>
      <c r="D47" s="483">
        <f>IF(F46+SUM(E$17:E46)=D$10,F46,D$10-SUM(E$17:E46))</f>
        <v>693769.71963824169</v>
      </c>
      <c r="E47" s="484">
        <f t="shared" si="8"/>
        <v>45609.79069767442</v>
      </c>
      <c r="F47" s="485">
        <f t="shared" si="9"/>
        <v>648159.9289405673</v>
      </c>
      <c r="G47" s="486">
        <f t="shared" si="10"/>
        <v>122808.54446664869</v>
      </c>
      <c r="H47" s="455">
        <f t="shared" si="11"/>
        <v>122808.54446664869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5"/>
        <v/>
      </c>
      <c r="C48" s="472">
        <f>IF(D11="","-",+C47+1)</f>
        <v>2048</v>
      </c>
      <c r="D48" s="483">
        <f>IF(F47+SUM(E$17:E47)=D$10,F47,D$10-SUM(E$17:E47))</f>
        <v>648159.9289405673</v>
      </c>
      <c r="E48" s="484">
        <f t="shared" si="8"/>
        <v>45609.79069767442</v>
      </c>
      <c r="F48" s="485">
        <f t="shared" si="9"/>
        <v>602550.13824289292</v>
      </c>
      <c r="G48" s="486">
        <f t="shared" si="10"/>
        <v>117560.84909714371</v>
      </c>
      <c r="H48" s="455">
        <f t="shared" si="11"/>
        <v>117560.84909714371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5"/>
        <v/>
      </c>
      <c r="C49" s="472">
        <f>IF(D11="","-",+C48+1)</f>
        <v>2049</v>
      </c>
      <c r="D49" s="483">
        <f>IF(F48+SUM(E$17:E48)=D$10,F48,D$10-SUM(E$17:E48))</f>
        <v>602550.13824289292</v>
      </c>
      <c r="E49" s="484">
        <f t="shared" si="8"/>
        <v>45609.79069767442</v>
      </c>
      <c r="F49" s="485">
        <f t="shared" si="9"/>
        <v>556940.34754521854</v>
      </c>
      <c r="G49" s="486">
        <f t="shared" si="10"/>
        <v>112313.15372763877</v>
      </c>
      <c r="H49" s="455">
        <f t="shared" si="11"/>
        <v>112313.15372763877</v>
      </c>
      <c r="I49" s="475">
        <f t="shared" si="0"/>
        <v>0</v>
      </c>
      <c r="J49" s="475"/>
      <c r="K49" s="487"/>
      <c r="L49" s="478">
        <f t="shared" si="1"/>
        <v>0</v>
      </c>
      <c r="M49" s="487"/>
      <c r="N49" s="478">
        <f t="shared" si="2"/>
        <v>0</v>
      </c>
      <c r="O49" s="478">
        <f t="shared" si="3"/>
        <v>0</v>
      </c>
      <c r="P49" s="243"/>
    </row>
    <row r="50" spans="2:16">
      <c r="B50" s="160" t="str">
        <f t="shared" si="5"/>
        <v/>
      </c>
      <c r="C50" s="472">
        <f>IF(D11="","-",+C49+1)</f>
        <v>2050</v>
      </c>
      <c r="D50" s="483">
        <f>IF(F49+SUM(E$17:E49)=D$10,F49,D$10-SUM(E$17:E49))</f>
        <v>556940.34754521854</v>
      </c>
      <c r="E50" s="484">
        <f t="shared" si="8"/>
        <v>45609.79069767442</v>
      </c>
      <c r="F50" s="485">
        <f t="shared" si="9"/>
        <v>511330.5568475441</v>
      </c>
      <c r="G50" s="486">
        <f t="shared" si="10"/>
        <v>107065.45835813379</v>
      </c>
      <c r="H50" s="455">
        <f t="shared" si="11"/>
        <v>107065.45835813379</v>
      </c>
      <c r="I50" s="475">
        <f t="shared" si="0"/>
        <v>0</v>
      </c>
      <c r="J50" s="475"/>
      <c r="K50" s="487"/>
      <c r="L50" s="478">
        <f t="shared" si="1"/>
        <v>0</v>
      </c>
      <c r="M50" s="487"/>
      <c r="N50" s="478">
        <f t="shared" si="2"/>
        <v>0</v>
      </c>
      <c r="O50" s="478">
        <f t="shared" si="3"/>
        <v>0</v>
      </c>
      <c r="P50" s="243"/>
    </row>
    <row r="51" spans="2:16">
      <c r="B51" s="160" t="str">
        <f t="shared" si="5"/>
        <v/>
      </c>
      <c r="C51" s="472">
        <f>IF(D11="","-",+C50+1)</f>
        <v>2051</v>
      </c>
      <c r="D51" s="483">
        <f>IF(F50+SUM(E$17:E50)=D$10,F50,D$10-SUM(E$17:E50))</f>
        <v>511330.5568475441</v>
      </c>
      <c r="E51" s="484">
        <f t="shared" si="8"/>
        <v>45609.79069767442</v>
      </c>
      <c r="F51" s="485">
        <f t="shared" si="9"/>
        <v>465720.76614986965</v>
      </c>
      <c r="G51" s="486">
        <f t="shared" si="10"/>
        <v>101817.76298862882</v>
      </c>
      <c r="H51" s="455">
        <f t="shared" si="11"/>
        <v>101817.76298862882</v>
      </c>
      <c r="I51" s="475">
        <f t="shared" si="0"/>
        <v>0</v>
      </c>
      <c r="J51" s="475"/>
      <c r="K51" s="487"/>
      <c r="L51" s="478">
        <f t="shared" si="1"/>
        <v>0</v>
      </c>
      <c r="M51" s="487"/>
      <c r="N51" s="478">
        <f t="shared" si="2"/>
        <v>0</v>
      </c>
      <c r="O51" s="478">
        <f t="shared" si="3"/>
        <v>0</v>
      </c>
      <c r="P51" s="243"/>
    </row>
    <row r="52" spans="2:16">
      <c r="B52" s="160" t="str">
        <f t="shared" si="5"/>
        <v/>
      </c>
      <c r="C52" s="472">
        <f>IF(D11="","-",+C51+1)</f>
        <v>2052</v>
      </c>
      <c r="D52" s="483">
        <f>IF(F51+SUM(E$17:E51)=D$10,F51,D$10-SUM(E$17:E51))</f>
        <v>465720.76614986965</v>
      </c>
      <c r="E52" s="484">
        <f t="shared" si="8"/>
        <v>45609.79069767442</v>
      </c>
      <c r="F52" s="485">
        <f t="shared" si="9"/>
        <v>420110.97545219521</v>
      </c>
      <c r="G52" s="486">
        <f t="shared" si="10"/>
        <v>96570.06761912386</v>
      </c>
      <c r="H52" s="455">
        <f t="shared" si="11"/>
        <v>96570.06761912386</v>
      </c>
      <c r="I52" s="475">
        <f t="shared" si="0"/>
        <v>0</v>
      </c>
      <c r="J52" s="475"/>
      <c r="K52" s="487"/>
      <c r="L52" s="478">
        <f t="shared" si="1"/>
        <v>0</v>
      </c>
      <c r="M52" s="487"/>
      <c r="N52" s="478">
        <f t="shared" si="2"/>
        <v>0</v>
      </c>
      <c r="O52" s="478">
        <f t="shared" si="3"/>
        <v>0</v>
      </c>
      <c r="P52" s="243"/>
    </row>
    <row r="53" spans="2:16">
      <c r="B53" s="160" t="str">
        <f t="shared" si="5"/>
        <v/>
      </c>
      <c r="C53" s="472">
        <f>IF(D11="","-",+C52+1)</f>
        <v>2053</v>
      </c>
      <c r="D53" s="483">
        <f>IF(F52+SUM(E$17:E52)=D$10,F52,D$10-SUM(E$17:E52))</f>
        <v>420110.97545219521</v>
      </c>
      <c r="E53" s="484">
        <f t="shared" si="8"/>
        <v>45609.79069767442</v>
      </c>
      <c r="F53" s="485">
        <f t="shared" si="9"/>
        <v>374501.18475452077</v>
      </c>
      <c r="G53" s="486">
        <f t="shared" si="10"/>
        <v>91322.3722496189</v>
      </c>
      <c r="H53" s="455">
        <f t="shared" si="11"/>
        <v>91322.3722496189</v>
      </c>
      <c r="I53" s="475">
        <f t="shared" si="0"/>
        <v>0</v>
      </c>
      <c r="J53" s="475"/>
      <c r="K53" s="487"/>
      <c r="L53" s="478">
        <f t="shared" si="1"/>
        <v>0</v>
      </c>
      <c r="M53" s="487"/>
      <c r="N53" s="478">
        <f t="shared" si="2"/>
        <v>0</v>
      </c>
      <c r="O53" s="478">
        <f t="shared" si="3"/>
        <v>0</v>
      </c>
      <c r="P53" s="243"/>
    </row>
    <row r="54" spans="2:16">
      <c r="B54" s="160" t="str">
        <f t="shared" si="5"/>
        <v/>
      </c>
      <c r="C54" s="472">
        <f>IF(D11="","-",+C53+1)</f>
        <v>2054</v>
      </c>
      <c r="D54" s="483">
        <f>IF(F53+SUM(E$17:E53)=D$10,F53,D$10-SUM(E$17:E53))</f>
        <v>374501.18475452077</v>
      </c>
      <c r="E54" s="484">
        <f t="shared" si="8"/>
        <v>45609.79069767442</v>
      </c>
      <c r="F54" s="485">
        <f t="shared" si="9"/>
        <v>328891.39405684633</v>
      </c>
      <c r="G54" s="486">
        <f t="shared" si="10"/>
        <v>86074.676880113926</v>
      </c>
      <c r="H54" s="455">
        <f t="shared" si="11"/>
        <v>86074.676880113926</v>
      </c>
      <c r="I54" s="475">
        <f t="shared" si="0"/>
        <v>0</v>
      </c>
      <c r="J54" s="475"/>
      <c r="K54" s="487"/>
      <c r="L54" s="478">
        <f t="shared" si="1"/>
        <v>0</v>
      </c>
      <c r="M54" s="487"/>
      <c r="N54" s="478">
        <f t="shared" si="2"/>
        <v>0</v>
      </c>
      <c r="O54" s="478">
        <f t="shared" si="3"/>
        <v>0</v>
      </c>
      <c r="P54" s="243"/>
    </row>
    <row r="55" spans="2:16">
      <c r="B55" s="160" t="str">
        <f t="shared" si="5"/>
        <v/>
      </c>
      <c r="C55" s="472">
        <f>IF(D11="","-",+C54+1)</f>
        <v>2055</v>
      </c>
      <c r="D55" s="483">
        <f>IF(F54+SUM(E$17:E54)=D$10,F54,D$10-SUM(E$17:E54))</f>
        <v>328891.39405684633</v>
      </c>
      <c r="E55" s="484">
        <f t="shared" si="8"/>
        <v>45609.79069767442</v>
      </c>
      <c r="F55" s="485">
        <f t="shared" si="9"/>
        <v>283281.60335917189</v>
      </c>
      <c r="G55" s="486">
        <f t="shared" si="10"/>
        <v>80826.981510608952</v>
      </c>
      <c r="H55" s="455">
        <f t="shared" si="11"/>
        <v>80826.981510608952</v>
      </c>
      <c r="I55" s="475">
        <f t="shared" si="0"/>
        <v>0</v>
      </c>
      <c r="J55" s="475"/>
      <c r="K55" s="487"/>
      <c r="L55" s="478">
        <f t="shared" si="1"/>
        <v>0</v>
      </c>
      <c r="M55" s="487"/>
      <c r="N55" s="478">
        <f t="shared" si="2"/>
        <v>0</v>
      </c>
      <c r="O55" s="478">
        <f t="shared" si="3"/>
        <v>0</v>
      </c>
      <c r="P55" s="243"/>
    </row>
    <row r="56" spans="2:16">
      <c r="B56" s="160" t="str">
        <f t="shared" si="5"/>
        <v/>
      </c>
      <c r="C56" s="472">
        <f>IF(D11="","-",+C55+1)</f>
        <v>2056</v>
      </c>
      <c r="D56" s="483">
        <f>IF(F55+SUM(E$17:E55)=D$10,F55,D$10-SUM(E$17:E55))</f>
        <v>283281.60335917189</v>
      </c>
      <c r="E56" s="484">
        <f t="shared" si="8"/>
        <v>45609.79069767442</v>
      </c>
      <c r="F56" s="485">
        <f t="shared" si="9"/>
        <v>237671.81266149748</v>
      </c>
      <c r="G56" s="486">
        <f t="shared" si="10"/>
        <v>75579.286141103992</v>
      </c>
      <c r="H56" s="455">
        <f t="shared" si="11"/>
        <v>75579.286141103992</v>
      </c>
      <c r="I56" s="475">
        <f t="shared" si="0"/>
        <v>0</v>
      </c>
      <c r="J56" s="475"/>
      <c r="K56" s="487"/>
      <c r="L56" s="478">
        <f t="shared" si="1"/>
        <v>0</v>
      </c>
      <c r="M56" s="487"/>
      <c r="N56" s="478">
        <f t="shared" si="2"/>
        <v>0</v>
      </c>
      <c r="O56" s="478">
        <f t="shared" si="3"/>
        <v>0</v>
      </c>
      <c r="P56" s="243"/>
    </row>
    <row r="57" spans="2:16">
      <c r="B57" s="160" t="str">
        <f t="shared" si="5"/>
        <v/>
      </c>
      <c r="C57" s="472">
        <f>IF(D11="","-",+C56+1)</f>
        <v>2057</v>
      </c>
      <c r="D57" s="483">
        <f>IF(F56+SUM(E$17:E56)=D$10,F56,D$10-SUM(E$17:E56))</f>
        <v>237671.81266149748</v>
      </c>
      <c r="E57" s="484">
        <f t="shared" si="8"/>
        <v>45609.79069767442</v>
      </c>
      <c r="F57" s="485">
        <f t="shared" si="9"/>
        <v>192062.02196382306</v>
      </c>
      <c r="G57" s="486">
        <f t="shared" si="10"/>
        <v>70331.590771599032</v>
      </c>
      <c r="H57" s="455">
        <f t="shared" si="11"/>
        <v>70331.590771599032</v>
      </c>
      <c r="I57" s="475">
        <f t="shared" si="0"/>
        <v>0</v>
      </c>
      <c r="J57" s="475"/>
      <c r="K57" s="487"/>
      <c r="L57" s="478">
        <f t="shared" si="1"/>
        <v>0</v>
      </c>
      <c r="M57" s="487"/>
      <c r="N57" s="478">
        <f t="shared" si="2"/>
        <v>0</v>
      </c>
      <c r="O57" s="478">
        <f t="shared" si="3"/>
        <v>0</v>
      </c>
      <c r="P57" s="243"/>
    </row>
    <row r="58" spans="2:16">
      <c r="B58" s="160" t="str">
        <f t="shared" si="5"/>
        <v/>
      </c>
      <c r="C58" s="472">
        <f>IF(D11="","-",+C57+1)</f>
        <v>2058</v>
      </c>
      <c r="D58" s="483">
        <f>IF(F57+SUM(E$17:E57)=D$10,F57,D$10-SUM(E$17:E57))</f>
        <v>192062.02196382306</v>
      </c>
      <c r="E58" s="484">
        <f t="shared" si="8"/>
        <v>45609.79069767442</v>
      </c>
      <c r="F58" s="485">
        <f t="shared" si="9"/>
        <v>146452.23126614865</v>
      </c>
      <c r="G58" s="486">
        <f t="shared" si="10"/>
        <v>65083.895402094066</v>
      </c>
      <c r="H58" s="455">
        <f t="shared" si="11"/>
        <v>65083.895402094066</v>
      </c>
      <c r="I58" s="475">
        <f t="shared" si="0"/>
        <v>0</v>
      </c>
      <c r="J58" s="475"/>
      <c r="K58" s="487"/>
      <c r="L58" s="478">
        <f t="shared" si="1"/>
        <v>0</v>
      </c>
      <c r="M58" s="487"/>
      <c r="N58" s="478">
        <f t="shared" si="2"/>
        <v>0</v>
      </c>
      <c r="O58" s="478">
        <f t="shared" si="3"/>
        <v>0</v>
      </c>
      <c r="P58" s="243"/>
    </row>
    <row r="59" spans="2:16">
      <c r="B59" s="160" t="str">
        <f t="shared" si="5"/>
        <v/>
      </c>
      <c r="C59" s="472">
        <f>IF(D11="","-",+C58+1)</f>
        <v>2059</v>
      </c>
      <c r="D59" s="483">
        <f>IF(F58+SUM(E$17:E58)=D$10,F58,D$10-SUM(E$17:E58))</f>
        <v>146452.23126614865</v>
      </c>
      <c r="E59" s="484">
        <f t="shared" si="8"/>
        <v>45609.79069767442</v>
      </c>
      <c r="F59" s="485">
        <f t="shared" si="9"/>
        <v>100842.44056847424</v>
      </c>
      <c r="G59" s="486">
        <f t="shared" si="10"/>
        <v>59836.200032589099</v>
      </c>
      <c r="H59" s="455">
        <f t="shared" si="11"/>
        <v>59836.200032589099</v>
      </c>
      <c r="I59" s="475">
        <f t="shared" si="0"/>
        <v>0</v>
      </c>
      <c r="J59" s="475"/>
      <c r="K59" s="487"/>
      <c r="L59" s="478">
        <f t="shared" si="1"/>
        <v>0</v>
      </c>
      <c r="M59" s="487"/>
      <c r="N59" s="478">
        <f t="shared" si="2"/>
        <v>0</v>
      </c>
      <c r="O59" s="478">
        <f t="shared" si="3"/>
        <v>0</v>
      </c>
      <c r="P59" s="243"/>
    </row>
    <row r="60" spans="2:16">
      <c r="B60" s="160" t="str">
        <f t="shared" si="5"/>
        <v/>
      </c>
      <c r="C60" s="472">
        <f>IF(D11="","-",+C59+1)</f>
        <v>2060</v>
      </c>
      <c r="D60" s="483">
        <f>IF(F59+SUM(E$17:E59)=D$10,F59,D$10-SUM(E$17:E59))</f>
        <v>100842.44056847424</v>
      </c>
      <c r="E60" s="484">
        <f t="shared" si="8"/>
        <v>45609.79069767442</v>
      </c>
      <c r="F60" s="485">
        <f t="shared" si="9"/>
        <v>55232.649870799818</v>
      </c>
      <c r="G60" s="486">
        <f t="shared" si="10"/>
        <v>54588.504663084139</v>
      </c>
      <c r="H60" s="455">
        <f t="shared" si="11"/>
        <v>54588.504663084139</v>
      </c>
      <c r="I60" s="475">
        <f t="shared" si="0"/>
        <v>0</v>
      </c>
      <c r="J60" s="475"/>
      <c r="K60" s="487"/>
      <c r="L60" s="478">
        <f t="shared" si="1"/>
        <v>0</v>
      </c>
      <c r="M60" s="487"/>
      <c r="N60" s="478">
        <f t="shared" si="2"/>
        <v>0</v>
      </c>
      <c r="O60" s="478">
        <f t="shared" si="3"/>
        <v>0</v>
      </c>
      <c r="P60" s="243"/>
    </row>
    <row r="61" spans="2:16">
      <c r="B61" s="160" t="str">
        <f t="shared" si="5"/>
        <v/>
      </c>
      <c r="C61" s="472">
        <f>IF(D11="","-",+C60+1)</f>
        <v>2061</v>
      </c>
      <c r="D61" s="483">
        <f>IF(F60+SUM(E$17:E60)=D$10,F60,D$10-SUM(E$17:E60))</f>
        <v>55232.649870799818</v>
      </c>
      <c r="E61" s="484">
        <f t="shared" si="8"/>
        <v>45609.79069767442</v>
      </c>
      <c r="F61" s="485">
        <f t="shared" si="9"/>
        <v>9622.8591731253982</v>
      </c>
      <c r="G61" s="486">
        <f t="shared" si="10"/>
        <v>49340.809293579172</v>
      </c>
      <c r="H61" s="455">
        <f t="shared" si="11"/>
        <v>49340.809293579172</v>
      </c>
      <c r="I61" s="475">
        <f t="shared" si="0"/>
        <v>0</v>
      </c>
      <c r="J61" s="475"/>
      <c r="K61" s="487"/>
      <c r="L61" s="478">
        <f t="shared" si="1"/>
        <v>0</v>
      </c>
      <c r="M61" s="487"/>
      <c r="N61" s="478">
        <f t="shared" si="2"/>
        <v>0</v>
      </c>
      <c r="O61" s="478">
        <f t="shared" si="3"/>
        <v>0</v>
      </c>
      <c r="P61" s="243"/>
    </row>
    <row r="62" spans="2:16">
      <c r="B62" s="160" t="str">
        <f t="shared" si="5"/>
        <v/>
      </c>
      <c r="C62" s="472">
        <f>IF(D11="","-",+C61+1)</f>
        <v>2062</v>
      </c>
      <c r="D62" s="483">
        <f>IF(F61+SUM(E$17:E61)=D$10,F61,D$10-SUM(E$17:E61))</f>
        <v>9622.8591731253982</v>
      </c>
      <c r="E62" s="484">
        <f t="shared" si="8"/>
        <v>9622.8591731253982</v>
      </c>
      <c r="F62" s="485">
        <f t="shared" si="9"/>
        <v>0</v>
      </c>
      <c r="G62" s="486">
        <f t="shared" si="10"/>
        <v>10176.444628701533</v>
      </c>
      <c r="H62" s="455">
        <f t="shared" si="11"/>
        <v>10176.444628701533</v>
      </c>
      <c r="I62" s="475">
        <f t="shared" si="0"/>
        <v>0</v>
      </c>
      <c r="J62" s="475"/>
      <c r="K62" s="487"/>
      <c r="L62" s="478">
        <f t="shared" si="1"/>
        <v>0</v>
      </c>
      <c r="M62" s="487"/>
      <c r="N62" s="478">
        <f t="shared" si="2"/>
        <v>0</v>
      </c>
      <c r="O62" s="478">
        <f t="shared" si="3"/>
        <v>0</v>
      </c>
      <c r="P62" s="243"/>
    </row>
    <row r="63" spans="2:16">
      <c r="B63" s="160" t="str">
        <f t="shared" si="5"/>
        <v/>
      </c>
      <c r="C63" s="472">
        <f>IF(D11="","-",+C62+1)</f>
        <v>2063</v>
      </c>
      <c r="D63" s="483">
        <f>IF(F62+SUM(E$17:E62)=D$10,F62,D$10-SUM(E$17:E62))</f>
        <v>0</v>
      </c>
      <c r="E63" s="484">
        <f t="shared" si="8"/>
        <v>0</v>
      </c>
      <c r="F63" s="485">
        <f t="shared" si="9"/>
        <v>0</v>
      </c>
      <c r="G63" s="486">
        <f t="shared" si="10"/>
        <v>0</v>
      </c>
      <c r="H63" s="455">
        <f t="shared" si="11"/>
        <v>0</v>
      </c>
      <c r="I63" s="475">
        <f t="shared" si="0"/>
        <v>0</v>
      </c>
      <c r="J63" s="475"/>
      <c r="K63" s="487"/>
      <c r="L63" s="478">
        <f t="shared" si="1"/>
        <v>0</v>
      </c>
      <c r="M63" s="487"/>
      <c r="N63" s="478">
        <f t="shared" si="2"/>
        <v>0</v>
      </c>
      <c r="O63" s="478">
        <f t="shared" si="3"/>
        <v>0</v>
      </c>
      <c r="P63" s="243"/>
    </row>
    <row r="64" spans="2:16">
      <c r="B64" s="160" t="str">
        <f t="shared" si="5"/>
        <v/>
      </c>
      <c r="C64" s="472">
        <f>IF(D11="","-",+C63+1)</f>
        <v>2064</v>
      </c>
      <c r="D64" s="483">
        <f>IF(F63+SUM(E$17:E63)=D$10,F63,D$10-SUM(E$17:E63))</f>
        <v>0</v>
      </c>
      <c r="E64" s="484">
        <f t="shared" si="8"/>
        <v>0</v>
      </c>
      <c r="F64" s="485">
        <f t="shared" si="9"/>
        <v>0</v>
      </c>
      <c r="G64" s="486">
        <f t="shared" si="10"/>
        <v>0</v>
      </c>
      <c r="H64" s="455">
        <f t="shared" si="11"/>
        <v>0</v>
      </c>
      <c r="I64" s="475">
        <f t="shared" si="0"/>
        <v>0</v>
      </c>
      <c r="J64" s="475"/>
      <c r="K64" s="487"/>
      <c r="L64" s="478">
        <f t="shared" si="1"/>
        <v>0</v>
      </c>
      <c r="M64" s="487"/>
      <c r="N64" s="478">
        <f t="shared" si="2"/>
        <v>0</v>
      </c>
      <c r="O64" s="478">
        <f t="shared" si="3"/>
        <v>0</v>
      </c>
      <c r="P64" s="243"/>
    </row>
    <row r="65" spans="2:16">
      <c r="B65" s="160" t="str">
        <f t="shared" si="5"/>
        <v/>
      </c>
      <c r="C65" s="472">
        <f>IF(D11="","-",+C64+1)</f>
        <v>2065</v>
      </c>
      <c r="D65" s="483">
        <f>IF(F64+SUM(E$17:E64)=D$10,F64,D$10-SUM(E$17:E64))</f>
        <v>0</v>
      </c>
      <c r="E65" s="484">
        <f t="shared" si="8"/>
        <v>0</v>
      </c>
      <c r="F65" s="485">
        <f t="shared" si="9"/>
        <v>0</v>
      </c>
      <c r="G65" s="486">
        <f t="shared" si="10"/>
        <v>0</v>
      </c>
      <c r="H65" s="455">
        <f t="shared" si="11"/>
        <v>0</v>
      </c>
      <c r="I65" s="475">
        <f t="shared" si="0"/>
        <v>0</v>
      </c>
      <c r="J65" s="475"/>
      <c r="K65" s="487"/>
      <c r="L65" s="478">
        <f t="shared" si="1"/>
        <v>0</v>
      </c>
      <c r="M65" s="487"/>
      <c r="N65" s="478">
        <f t="shared" si="2"/>
        <v>0</v>
      </c>
      <c r="O65" s="478">
        <f t="shared" si="3"/>
        <v>0</v>
      </c>
      <c r="P65" s="243"/>
    </row>
    <row r="66" spans="2:16">
      <c r="B66" s="160" t="str">
        <f t="shared" si="5"/>
        <v/>
      </c>
      <c r="C66" s="472">
        <f>IF(D11="","-",+C65+1)</f>
        <v>2066</v>
      </c>
      <c r="D66" s="483">
        <f>IF(F65+SUM(E$17:E65)=D$10,F65,D$10-SUM(E$17:E65))</f>
        <v>0</v>
      </c>
      <c r="E66" s="484">
        <f t="shared" si="8"/>
        <v>0</v>
      </c>
      <c r="F66" s="485">
        <f t="shared" si="9"/>
        <v>0</v>
      </c>
      <c r="G66" s="486">
        <f t="shared" si="10"/>
        <v>0</v>
      </c>
      <c r="H66" s="455">
        <f t="shared" si="11"/>
        <v>0</v>
      </c>
      <c r="I66" s="475">
        <f t="shared" si="0"/>
        <v>0</v>
      </c>
      <c r="J66" s="475"/>
      <c r="K66" s="487"/>
      <c r="L66" s="478">
        <f t="shared" si="1"/>
        <v>0</v>
      </c>
      <c r="M66" s="487"/>
      <c r="N66" s="478">
        <f t="shared" si="2"/>
        <v>0</v>
      </c>
      <c r="O66" s="478">
        <f t="shared" si="3"/>
        <v>0</v>
      </c>
      <c r="P66" s="243"/>
    </row>
    <row r="67" spans="2:16">
      <c r="B67" s="160" t="str">
        <f t="shared" si="5"/>
        <v/>
      </c>
      <c r="C67" s="472">
        <f>IF(D11="","-",+C66+1)</f>
        <v>2067</v>
      </c>
      <c r="D67" s="483">
        <f>IF(F66+SUM(E$17:E66)=D$10,F66,D$10-SUM(E$17:E66))</f>
        <v>0</v>
      </c>
      <c r="E67" s="484">
        <f t="shared" si="8"/>
        <v>0</v>
      </c>
      <c r="F67" s="485">
        <f t="shared" si="9"/>
        <v>0</v>
      </c>
      <c r="G67" s="486">
        <f t="shared" si="10"/>
        <v>0</v>
      </c>
      <c r="H67" s="455">
        <f t="shared" si="11"/>
        <v>0</v>
      </c>
      <c r="I67" s="475">
        <f t="shared" si="0"/>
        <v>0</v>
      </c>
      <c r="J67" s="475"/>
      <c r="K67" s="487"/>
      <c r="L67" s="478">
        <f t="shared" si="1"/>
        <v>0</v>
      </c>
      <c r="M67" s="487"/>
      <c r="N67" s="478">
        <f t="shared" si="2"/>
        <v>0</v>
      </c>
      <c r="O67" s="478">
        <f t="shared" si="3"/>
        <v>0</v>
      </c>
      <c r="P67" s="243"/>
    </row>
    <row r="68" spans="2:16">
      <c r="B68" s="160" t="str">
        <f t="shared" si="5"/>
        <v/>
      </c>
      <c r="C68" s="472">
        <f>IF(D11="","-",+C67+1)</f>
        <v>2068</v>
      </c>
      <c r="D68" s="483">
        <f>IF(F67+SUM(E$17:E67)=D$10,F67,D$10-SUM(E$17:E67))</f>
        <v>0</v>
      </c>
      <c r="E68" s="484">
        <f t="shared" si="8"/>
        <v>0</v>
      </c>
      <c r="F68" s="485">
        <f t="shared" si="9"/>
        <v>0</v>
      </c>
      <c r="G68" s="486">
        <f t="shared" si="10"/>
        <v>0</v>
      </c>
      <c r="H68" s="455">
        <f t="shared" si="11"/>
        <v>0</v>
      </c>
      <c r="I68" s="475">
        <f t="shared" si="0"/>
        <v>0</v>
      </c>
      <c r="J68" s="475"/>
      <c r="K68" s="487"/>
      <c r="L68" s="478">
        <f t="shared" si="1"/>
        <v>0</v>
      </c>
      <c r="M68" s="487"/>
      <c r="N68" s="478">
        <f t="shared" si="2"/>
        <v>0</v>
      </c>
      <c r="O68" s="478">
        <f t="shared" si="3"/>
        <v>0</v>
      </c>
      <c r="P68" s="243"/>
    </row>
    <row r="69" spans="2:16">
      <c r="B69" s="160" t="str">
        <f t="shared" si="5"/>
        <v/>
      </c>
      <c r="C69" s="472">
        <f>IF(D11="","-",+C68+1)</f>
        <v>2069</v>
      </c>
      <c r="D69" s="483">
        <f>IF(F68+SUM(E$17:E68)=D$10,F68,D$10-SUM(E$17:E68))</f>
        <v>0</v>
      </c>
      <c r="E69" s="484">
        <f t="shared" si="8"/>
        <v>0</v>
      </c>
      <c r="F69" s="485">
        <f t="shared" si="9"/>
        <v>0</v>
      </c>
      <c r="G69" s="486">
        <f t="shared" si="10"/>
        <v>0</v>
      </c>
      <c r="H69" s="455">
        <f t="shared" si="11"/>
        <v>0</v>
      </c>
      <c r="I69" s="475">
        <f t="shared" si="0"/>
        <v>0</v>
      </c>
      <c r="J69" s="475"/>
      <c r="K69" s="487"/>
      <c r="L69" s="478">
        <f t="shared" si="1"/>
        <v>0</v>
      </c>
      <c r="M69" s="487"/>
      <c r="N69" s="478">
        <f t="shared" si="2"/>
        <v>0</v>
      </c>
      <c r="O69" s="478">
        <f t="shared" si="3"/>
        <v>0</v>
      </c>
      <c r="P69" s="243"/>
    </row>
    <row r="70" spans="2:16">
      <c r="B70" s="160" t="str">
        <f t="shared" si="5"/>
        <v/>
      </c>
      <c r="C70" s="472">
        <f>IF(D11="","-",+C69+1)</f>
        <v>2070</v>
      </c>
      <c r="D70" s="483">
        <f>IF(F69+SUM(E$17:E69)=D$10,F69,D$10-SUM(E$17:E69))</f>
        <v>0</v>
      </c>
      <c r="E70" s="484">
        <f t="shared" si="8"/>
        <v>0</v>
      </c>
      <c r="F70" s="485">
        <f t="shared" si="9"/>
        <v>0</v>
      </c>
      <c r="G70" s="486">
        <f t="shared" si="10"/>
        <v>0</v>
      </c>
      <c r="H70" s="455">
        <f t="shared" si="11"/>
        <v>0</v>
      </c>
      <c r="I70" s="475">
        <f t="shared" si="0"/>
        <v>0</v>
      </c>
      <c r="J70" s="475"/>
      <c r="K70" s="487"/>
      <c r="L70" s="478">
        <f t="shared" si="1"/>
        <v>0</v>
      </c>
      <c r="M70" s="487"/>
      <c r="N70" s="478">
        <f t="shared" si="2"/>
        <v>0</v>
      </c>
      <c r="O70" s="478">
        <f t="shared" si="3"/>
        <v>0</v>
      </c>
      <c r="P70" s="243"/>
    </row>
    <row r="71" spans="2:16">
      <c r="B71" s="160" t="str">
        <f t="shared" si="5"/>
        <v/>
      </c>
      <c r="C71" s="472">
        <f>IF(D11="","-",+C70+1)</f>
        <v>2071</v>
      </c>
      <c r="D71" s="483">
        <f>IF(F70+SUM(E$17:E70)=D$10,F70,D$10-SUM(E$17:E70))</f>
        <v>0</v>
      </c>
      <c r="E71" s="484">
        <f t="shared" si="8"/>
        <v>0</v>
      </c>
      <c r="F71" s="485">
        <f t="shared" si="9"/>
        <v>0</v>
      </c>
      <c r="G71" s="486">
        <f t="shared" si="10"/>
        <v>0</v>
      </c>
      <c r="H71" s="455">
        <f t="shared" si="11"/>
        <v>0</v>
      </c>
      <c r="I71" s="475">
        <f t="shared" si="0"/>
        <v>0</v>
      </c>
      <c r="J71" s="475"/>
      <c r="K71" s="487"/>
      <c r="L71" s="478">
        <f t="shared" si="1"/>
        <v>0</v>
      </c>
      <c r="M71" s="487"/>
      <c r="N71" s="478">
        <f t="shared" si="2"/>
        <v>0</v>
      </c>
      <c r="O71" s="478">
        <f t="shared" si="3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2072</v>
      </c>
      <c r="D72" s="612">
        <f>IF(F71+SUM(E$17:E71)=D$10,F71,D$10-SUM(E$17:E71))</f>
        <v>0</v>
      </c>
      <c r="E72" s="491">
        <f t="shared" si="8"/>
        <v>0</v>
      </c>
      <c r="F72" s="490">
        <f t="shared" si="9"/>
        <v>0</v>
      </c>
      <c r="G72" s="544">
        <f t="shared" si="10"/>
        <v>0</v>
      </c>
      <c r="H72" s="435">
        <f t="shared" si="11"/>
        <v>0</v>
      </c>
      <c r="I72" s="493">
        <f t="shared" si="0"/>
        <v>0</v>
      </c>
      <c r="J72" s="475"/>
      <c r="K72" s="494"/>
      <c r="L72" s="495">
        <f t="shared" si="1"/>
        <v>0</v>
      </c>
      <c r="M72" s="494"/>
      <c r="N72" s="495">
        <f t="shared" si="2"/>
        <v>0</v>
      </c>
      <c r="O72" s="495">
        <f t="shared" si="3"/>
        <v>0</v>
      </c>
      <c r="P72" s="243"/>
    </row>
    <row r="73" spans="2:16">
      <c r="C73" s="347" t="s">
        <v>77</v>
      </c>
      <c r="D73" s="348"/>
      <c r="E73" s="348">
        <f>SUM(E17:E72)</f>
        <v>1961221</v>
      </c>
      <c r="F73" s="348"/>
      <c r="G73" s="348">
        <f>SUM(G17:G72)</f>
        <v>6864090.7764863474</v>
      </c>
      <c r="H73" s="348">
        <f>SUM(H17:H72)</f>
        <v>6864090.7764863474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20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245473.68855677257</v>
      </c>
      <c r="N87" s="508">
        <f>IF(J92&lt;D11,0,VLOOKUP(J92,C17:O72,11))</f>
        <v>245473.68855677257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257652.80866980529</v>
      </c>
      <c r="N88" s="512">
        <f>IF(J92&lt;D11,0,VLOOKUP(J92,C99:P154,7))</f>
        <v>257652.80866980529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Sayre 138 kV Capacitor Bank Addition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12179.120113032724</v>
      </c>
      <c r="N89" s="517">
        <f>+N88-N87</f>
        <v>12179.120113032724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TP2015202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1961221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47835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2018</v>
      </c>
      <c r="D99" s="584">
        <v>0</v>
      </c>
      <c r="E99" s="608">
        <v>0</v>
      </c>
      <c r="F99" s="584">
        <v>1140000</v>
      </c>
      <c r="G99" s="608">
        <v>570000</v>
      </c>
      <c r="H99" s="587">
        <v>72305.937255510624</v>
      </c>
      <c r="I99" s="607">
        <v>72305.937255510624</v>
      </c>
      <c r="J99" s="478">
        <f t="shared" ref="J99:J130" si="12">+I99-H99</f>
        <v>0</v>
      </c>
      <c r="K99" s="478"/>
      <c r="L99" s="477">
        <f>+H99</f>
        <v>72305.937255510624</v>
      </c>
      <c r="M99" s="477">
        <f t="shared" ref="M99:M130" si="13">IF(L99&lt;&gt;0,+H99-L99,0)</f>
        <v>0</v>
      </c>
      <c r="N99" s="477">
        <f>+I99</f>
        <v>72305.937255510624</v>
      </c>
      <c r="O99" s="477">
        <f t="shared" ref="O99:O130" si="14">IF(N99&lt;&gt;0,+I99-N99,0)</f>
        <v>0</v>
      </c>
      <c r="P99" s="477">
        <f t="shared" ref="P99:P130" si="15">+O99-M99</f>
        <v>0</v>
      </c>
    </row>
    <row r="100" spans="1:16">
      <c r="B100" s="160" t="str">
        <f>IF(D100=F99,"","IU")</f>
        <v>IU</v>
      </c>
      <c r="C100" s="472">
        <f>IF(D93="","-",+C99+1)</f>
        <v>2019</v>
      </c>
      <c r="D100" s="584">
        <v>1961221</v>
      </c>
      <c r="E100" s="585">
        <v>47835</v>
      </c>
      <c r="F100" s="586">
        <v>1913386</v>
      </c>
      <c r="G100" s="586">
        <v>1937303.5</v>
      </c>
      <c r="H100" s="606">
        <v>247598.16362509641</v>
      </c>
      <c r="I100" s="607">
        <v>247598.16362509641</v>
      </c>
      <c r="J100" s="478">
        <f t="shared" si="12"/>
        <v>0</v>
      </c>
      <c r="K100" s="478"/>
      <c r="L100" s="476">
        <f>H100</f>
        <v>247598.16362509641</v>
      </c>
      <c r="M100" s="349">
        <f>IF(L100&lt;&gt;0,+H100-L100,0)</f>
        <v>0</v>
      </c>
      <c r="N100" s="476">
        <f>I100</f>
        <v>247598.16362509641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16">IF(D101=F100,"","IU")</f>
        <v/>
      </c>
      <c r="C101" s="472">
        <f>IF(D93="","-",+C100+1)</f>
        <v>2020</v>
      </c>
      <c r="D101" s="584">
        <v>1913386</v>
      </c>
      <c r="E101" s="585">
        <v>45610</v>
      </c>
      <c r="F101" s="586">
        <v>1867776</v>
      </c>
      <c r="G101" s="586">
        <v>1890581</v>
      </c>
      <c r="H101" s="606">
        <v>263588.79157611891</v>
      </c>
      <c r="I101" s="607">
        <v>263588.79157611891</v>
      </c>
      <c r="J101" s="478">
        <f t="shared" si="12"/>
        <v>0</v>
      </c>
      <c r="K101" s="478"/>
      <c r="L101" s="476">
        <f>H101</f>
        <v>263588.79157611891</v>
      </c>
      <c r="M101" s="349">
        <f>IF(L101&lt;&gt;0,+H101-L101,0)</f>
        <v>0</v>
      </c>
      <c r="N101" s="476">
        <f>I101</f>
        <v>263588.79157611891</v>
      </c>
      <c r="O101" s="478">
        <f t="shared" si="14"/>
        <v>0</v>
      </c>
      <c r="P101" s="478">
        <f t="shared" si="15"/>
        <v>0</v>
      </c>
    </row>
    <row r="102" spans="1:16">
      <c r="B102" s="160" t="str">
        <f t="shared" si="16"/>
        <v/>
      </c>
      <c r="C102" s="472">
        <f>IF(D93="","-",+C101+1)</f>
        <v>2021</v>
      </c>
      <c r="D102" s="347">
        <f>IF(F101+SUM(E$99:E101)=D$92,F101,D$92-SUM(E$99:E101))</f>
        <v>1867776</v>
      </c>
      <c r="E102" s="484">
        <f t="shared" ref="E102:E154" si="17">IF(+J$96&lt;F101,J$96,D102)</f>
        <v>47835</v>
      </c>
      <c r="F102" s="485">
        <f t="shared" ref="F102:F154" si="18">+D102-E102</f>
        <v>1819941</v>
      </c>
      <c r="G102" s="485">
        <f t="shared" ref="G102:G154" si="19">+(F102+D102)/2</f>
        <v>1843858.5</v>
      </c>
      <c r="H102" s="486">
        <f t="shared" ref="H102:H153" si="20">(D102+F102)/2*J$94+E102</f>
        <v>257652.80866980529</v>
      </c>
      <c r="I102" s="542">
        <f t="shared" ref="I102:I153" si="21">+J$95*G102+E102</f>
        <v>257652.80866980529</v>
      </c>
      <c r="J102" s="478">
        <f t="shared" si="12"/>
        <v>0</v>
      </c>
      <c r="K102" s="478"/>
      <c r="L102" s="487"/>
      <c r="M102" s="478">
        <f t="shared" si="13"/>
        <v>0</v>
      </c>
      <c r="N102" s="487"/>
      <c r="O102" s="478">
        <f t="shared" si="14"/>
        <v>0</v>
      </c>
      <c r="P102" s="478">
        <f t="shared" si="15"/>
        <v>0</v>
      </c>
    </row>
    <row r="103" spans="1:16">
      <c r="B103" s="160" t="str">
        <f t="shared" si="16"/>
        <v/>
      </c>
      <c r="C103" s="472">
        <f>IF(D93="","-",+C102+1)</f>
        <v>2022</v>
      </c>
      <c r="D103" s="347">
        <f>IF(F102+SUM(E$99:E102)=D$92,F102,D$92-SUM(E$99:E102))</f>
        <v>1819941</v>
      </c>
      <c r="E103" s="484">
        <f t="shared" si="17"/>
        <v>47835</v>
      </c>
      <c r="F103" s="485">
        <f t="shared" si="18"/>
        <v>1772106</v>
      </c>
      <c r="G103" s="485">
        <f t="shared" si="19"/>
        <v>1796023.5</v>
      </c>
      <c r="H103" s="486">
        <f t="shared" si="20"/>
        <v>252209.53041514524</v>
      </c>
      <c r="I103" s="542">
        <f t="shared" si="21"/>
        <v>252209.53041514524</v>
      </c>
      <c r="J103" s="478">
        <f t="shared" si="12"/>
        <v>0</v>
      </c>
      <c r="K103" s="478"/>
      <c r="L103" s="487"/>
      <c r="M103" s="478">
        <f t="shared" si="13"/>
        <v>0</v>
      </c>
      <c r="N103" s="487"/>
      <c r="O103" s="478">
        <f t="shared" si="14"/>
        <v>0</v>
      </c>
      <c r="P103" s="478">
        <f t="shared" si="15"/>
        <v>0</v>
      </c>
    </row>
    <row r="104" spans="1:16">
      <c r="B104" s="160" t="str">
        <f t="shared" si="16"/>
        <v/>
      </c>
      <c r="C104" s="472">
        <f>IF(D93="","-",+C103+1)</f>
        <v>2023</v>
      </c>
      <c r="D104" s="347">
        <f>IF(F103+SUM(E$99:E103)=D$92,F103,D$92-SUM(E$99:E103))</f>
        <v>1772106</v>
      </c>
      <c r="E104" s="484">
        <f t="shared" si="17"/>
        <v>47835</v>
      </c>
      <c r="F104" s="485">
        <f t="shared" si="18"/>
        <v>1724271</v>
      </c>
      <c r="G104" s="485">
        <f t="shared" si="19"/>
        <v>1748188.5</v>
      </c>
      <c r="H104" s="486">
        <f t="shared" si="20"/>
        <v>246766.25216048516</v>
      </c>
      <c r="I104" s="542">
        <f t="shared" si="21"/>
        <v>246766.25216048516</v>
      </c>
      <c r="J104" s="478">
        <f t="shared" si="12"/>
        <v>0</v>
      </c>
      <c r="K104" s="478"/>
      <c r="L104" s="487"/>
      <c r="M104" s="478">
        <f t="shared" si="13"/>
        <v>0</v>
      </c>
      <c r="N104" s="487"/>
      <c r="O104" s="478">
        <f t="shared" si="14"/>
        <v>0</v>
      </c>
      <c r="P104" s="478">
        <f t="shared" si="15"/>
        <v>0</v>
      </c>
    </row>
    <row r="105" spans="1:16">
      <c r="B105" s="160" t="str">
        <f t="shared" si="16"/>
        <v/>
      </c>
      <c r="C105" s="472">
        <f>IF(D93="","-",+C104+1)</f>
        <v>2024</v>
      </c>
      <c r="D105" s="347">
        <f>IF(F104+SUM(E$99:E104)=D$92,F104,D$92-SUM(E$99:E104))</f>
        <v>1724271</v>
      </c>
      <c r="E105" s="484">
        <f t="shared" si="17"/>
        <v>47835</v>
      </c>
      <c r="F105" s="485">
        <f t="shared" si="18"/>
        <v>1676436</v>
      </c>
      <c r="G105" s="485">
        <f t="shared" si="19"/>
        <v>1700353.5</v>
      </c>
      <c r="H105" s="486">
        <f t="shared" si="20"/>
        <v>241322.97390582509</v>
      </c>
      <c r="I105" s="542">
        <f t="shared" si="21"/>
        <v>241322.97390582509</v>
      </c>
      <c r="J105" s="478">
        <f t="shared" si="12"/>
        <v>0</v>
      </c>
      <c r="K105" s="478"/>
      <c r="L105" s="487"/>
      <c r="M105" s="478">
        <f t="shared" si="13"/>
        <v>0</v>
      </c>
      <c r="N105" s="487"/>
      <c r="O105" s="478">
        <f t="shared" si="14"/>
        <v>0</v>
      </c>
      <c r="P105" s="478">
        <f t="shared" si="15"/>
        <v>0</v>
      </c>
    </row>
    <row r="106" spans="1:16">
      <c r="B106" s="160" t="str">
        <f t="shared" si="16"/>
        <v/>
      </c>
      <c r="C106" s="472">
        <f>IF(D93="","-",+C105+1)</f>
        <v>2025</v>
      </c>
      <c r="D106" s="347">
        <f>IF(F105+SUM(E$99:E105)=D$92,F105,D$92-SUM(E$99:E105))</f>
        <v>1676436</v>
      </c>
      <c r="E106" s="484">
        <f t="shared" si="17"/>
        <v>47835</v>
      </c>
      <c r="F106" s="485">
        <f t="shared" si="18"/>
        <v>1628601</v>
      </c>
      <c r="G106" s="485">
        <f t="shared" si="19"/>
        <v>1652518.5</v>
      </c>
      <c r="H106" s="486">
        <f t="shared" si="20"/>
        <v>235879.69565116504</v>
      </c>
      <c r="I106" s="542">
        <f t="shared" si="21"/>
        <v>235879.69565116504</v>
      </c>
      <c r="J106" s="478">
        <f t="shared" si="12"/>
        <v>0</v>
      </c>
      <c r="K106" s="478"/>
      <c r="L106" s="487"/>
      <c r="M106" s="478">
        <f t="shared" si="13"/>
        <v>0</v>
      </c>
      <c r="N106" s="487"/>
      <c r="O106" s="478">
        <f t="shared" si="14"/>
        <v>0</v>
      </c>
      <c r="P106" s="478">
        <f t="shared" si="15"/>
        <v>0</v>
      </c>
    </row>
    <row r="107" spans="1:16">
      <c r="B107" s="160" t="str">
        <f t="shared" si="16"/>
        <v/>
      </c>
      <c r="C107" s="472">
        <f>IF(D93="","-",+C106+1)</f>
        <v>2026</v>
      </c>
      <c r="D107" s="347">
        <f>IF(F106+SUM(E$99:E106)=D$92,F106,D$92-SUM(E$99:E106))</f>
        <v>1628601</v>
      </c>
      <c r="E107" s="484">
        <f t="shared" si="17"/>
        <v>47835</v>
      </c>
      <c r="F107" s="485">
        <f t="shared" si="18"/>
        <v>1580766</v>
      </c>
      <c r="G107" s="485">
        <f t="shared" si="19"/>
        <v>1604683.5</v>
      </c>
      <c r="H107" s="486">
        <f t="shared" si="20"/>
        <v>230436.41739650496</v>
      </c>
      <c r="I107" s="542">
        <f t="shared" si="21"/>
        <v>230436.41739650496</v>
      </c>
      <c r="J107" s="478">
        <f t="shared" si="12"/>
        <v>0</v>
      </c>
      <c r="K107" s="478"/>
      <c r="L107" s="487"/>
      <c r="M107" s="478">
        <f t="shared" si="13"/>
        <v>0</v>
      </c>
      <c r="N107" s="487"/>
      <c r="O107" s="478">
        <f t="shared" si="14"/>
        <v>0</v>
      </c>
      <c r="P107" s="478">
        <f t="shared" si="15"/>
        <v>0</v>
      </c>
    </row>
    <row r="108" spans="1:16">
      <c r="B108" s="160" t="str">
        <f t="shared" si="16"/>
        <v/>
      </c>
      <c r="C108" s="472">
        <f>IF(D93="","-",+C107+1)</f>
        <v>2027</v>
      </c>
      <c r="D108" s="347">
        <f>IF(F107+SUM(E$99:E107)=D$92,F107,D$92-SUM(E$99:E107))</f>
        <v>1580766</v>
      </c>
      <c r="E108" s="484">
        <f t="shared" si="17"/>
        <v>47835</v>
      </c>
      <c r="F108" s="485">
        <f t="shared" si="18"/>
        <v>1532931</v>
      </c>
      <c r="G108" s="485">
        <f t="shared" si="19"/>
        <v>1556848.5</v>
      </c>
      <c r="H108" s="486">
        <f t="shared" si="20"/>
        <v>224993.13914184488</v>
      </c>
      <c r="I108" s="542">
        <f t="shared" si="21"/>
        <v>224993.13914184488</v>
      </c>
      <c r="J108" s="478">
        <f t="shared" si="12"/>
        <v>0</v>
      </c>
      <c r="K108" s="478"/>
      <c r="L108" s="487"/>
      <c r="M108" s="478">
        <f t="shared" si="13"/>
        <v>0</v>
      </c>
      <c r="N108" s="487"/>
      <c r="O108" s="478">
        <f t="shared" si="14"/>
        <v>0</v>
      </c>
      <c r="P108" s="478">
        <f t="shared" si="15"/>
        <v>0</v>
      </c>
    </row>
    <row r="109" spans="1:16">
      <c r="B109" s="160" t="str">
        <f t="shared" si="16"/>
        <v/>
      </c>
      <c r="C109" s="472">
        <f>IF(D93="","-",+C108+1)</f>
        <v>2028</v>
      </c>
      <c r="D109" s="347">
        <f>IF(F108+SUM(E$99:E108)=D$92,F108,D$92-SUM(E$99:E108))</f>
        <v>1532931</v>
      </c>
      <c r="E109" s="484">
        <f t="shared" si="17"/>
        <v>47835</v>
      </c>
      <c r="F109" s="485">
        <f t="shared" si="18"/>
        <v>1485096</v>
      </c>
      <c r="G109" s="485">
        <f t="shared" si="19"/>
        <v>1509013.5</v>
      </c>
      <c r="H109" s="486">
        <f t="shared" si="20"/>
        <v>219549.8608871848</v>
      </c>
      <c r="I109" s="542">
        <f t="shared" si="21"/>
        <v>219549.8608871848</v>
      </c>
      <c r="J109" s="478">
        <f t="shared" si="12"/>
        <v>0</v>
      </c>
      <c r="K109" s="478"/>
      <c r="L109" s="487"/>
      <c r="M109" s="478">
        <f t="shared" si="13"/>
        <v>0</v>
      </c>
      <c r="N109" s="487"/>
      <c r="O109" s="478">
        <f t="shared" si="14"/>
        <v>0</v>
      </c>
      <c r="P109" s="478">
        <f t="shared" si="15"/>
        <v>0</v>
      </c>
    </row>
    <row r="110" spans="1:16">
      <c r="B110" s="160" t="str">
        <f t="shared" si="16"/>
        <v/>
      </c>
      <c r="C110" s="472">
        <f>IF(D93="","-",+C109+1)</f>
        <v>2029</v>
      </c>
      <c r="D110" s="347">
        <f>IF(F109+SUM(E$99:E109)=D$92,F109,D$92-SUM(E$99:E109))</f>
        <v>1485096</v>
      </c>
      <c r="E110" s="484">
        <f t="shared" si="17"/>
        <v>47835</v>
      </c>
      <c r="F110" s="485">
        <f t="shared" si="18"/>
        <v>1437261</v>
      </c>
      <c r="G110" s="485">
        <f t="shared" si="19"/>
        <v>1461178.5</v>
      </c>
      <c r="H110" s="486">
        <f t="shared" si="20"/>
        <v>214106.58263252475</v>
      </c>
      <c r="I110" s="542">
        <f t="shared" si="21"/>
        <v>214106.58263252475</v>
      </c>
      <c r="J110" s="478">
        <f t="shared" si="12"/>
        <v>0</v>
      </c>
      <c r="K110" s="478"/>
      <c r="L110" s="487"/>
      <c r="M110" s="478">
        <f t="shared" si="13"/>
        <v>0</v>
      </c>
      <c r="N110" s="487"/>
      <c r="O110" s="478">
        <f t="shared" si="14"/>
        <v>0</v>
      </c>
      <c r="P110" s="478">
        <f t="shared" si="15"/>
        <v>0</v>
      </c>
    </row>
    <row r="111" spans="1:16">
      <c r="B111" s="160" t="str">
        <f t="shared" si="16"/>
        <v/>
      </c>
      <c r="C111" s="472">
        <f>IF(D93="","-",+C110+1)</f>
        <v>2030</v>
      </c>
      <c r="D111" s="347">
        <f>IF(F110+SUM(E$99:E110)=D$92,F110,D$92-SUM(E$99:E110))</f>
        <v>1437261</v>
      </c>
      <c r="E111" s="484">
        <f t="shared" si="17"/>
        <v>47835</v>
      </c>
      <c r="F111" s="485">
        <f t="shared" si="18"/>
        <v>1389426</v>
      </c>
      <c r="G111" s="485">
        <f t="shared" si="19"/>
        <v>1413343.5</v>
      </c>
      <c r="H111" s="486">
        <f t="shared" si="20"/>
        <v>208663.30437786467</v>
      </c>
      <c r="I111" s="542">
        <f t="shared" si="21"/>
        <v>208663.30437786467</v>
      </c>
      <c r="J111" s="478">
        <f t="shared" si="12"/>
        <v>0</v>
      </c>
      <c r="K111" s="478"/>
      <c r="L111" s="487"/>
      <c r="M111" s="478">
        <f t="shared" si="13"/>
        <v>0</v>
      </c>
      <c r="N111" s="487"/>
      <c r="O111" s="478">
        <f t="shared" si="14"/>
        <v>0</v>
      </c>
      <c r="P111" s="478">
        <f t="shared" si="15"/>
        <v>0</v>
      </c>
    </row>
    <row r="112" spans="1:16">
      <c r="B112" s="160" t="str">
        <f t="shared" si="16"/>
        <v/>
      </c>
      <c r="C112" s="472">
        <f>IF(D93="","-",+C111+1)</f>
        <v>2031</v>
      </c>
      <c r="D112" s="347">
        <f>IF(F111+SUM(E$99:E111)=D$92,F111,D$92-SUM(E$99:E111))</f>
        <v>1389426</v>
      </c>
      <c r="E112" s="484">
        <f t="shared" si="17"/>
        <v>47835</v>
      </c>
      <c r="F112" s="485">
        <f t="shared" si="18"/>
        <v>1341591</v>
      </c>
      <c r="G112" s="485">
        <f t="shared" si="19"/>
        <v>1365508.5</v>
      </c>
      <c r="H112" s="486">
        <f t="shared" si="20"/>
        <v>203220.02612320459</v>
      </c>
      <c r="I112" s="542">
        <f t="shared" si="21"/>
        <v>203220.02612320459</v>
      </c>
      <c r="J112" s="478">
        <f t="shared" si="12"/>
        <v>0</v>
      </c>
      <c r="K112" s="478"/>
      <c r="L112" s="487"/>
      <c r="M112" s="478">
        <f t="shared" si="13"/>
        <v>0</v>
      </c>
      <c r="N112" s="487"/>
      <c r="O112" s="478">
        <f t="shared" si="14"/>
        <v>0</v>
      </c>
      <c r="P112" s="478">
        <f t="shared" si="15"/>
        <v>0</v>
      </c>
    </row>
    <row r="113" spans="2:16">
      <c r="B113" s="160" t="str">
        <f t="shared" si="16"/>
        <v/>
      </c>
      <c r="C113" s="472">
        <f>IF(D93="","-",+C112+1)</f>
        <v>2032</v>
      </c>
      <c r="D113" s="347">
        <f>IF(F112+SUM(E$99:E112)=D$92,F112,D$92-SUM(E$99:E112))</f>
        <v>1341591</v>
      </c>
      <c r="E113" s="484">
        <f t="shared" si="17"/>
        <v>47835</v>
      </c>
      <c r="F113" s="485">
        <f t="shared" si="18"/>
        <v>1293756</v>
      </c>
      <c r="G113" s="485">
        <f t="shared" si="19"/>
        <v>1317673.5</v>
      </c>
      <c r="H113" s="486">
        <f t="shared" si="20"/>
        <v>197776.74786854454</v>
      </c>
      <c r="I113" s="542">
        <f t="shared" si="21"/>
        <v>197776.74786854454</v>
      </c>
      <c r="J113" s="478">
        <f t="shared" si="12"/>
        <v>0</v>
      </c>
      <c r="K113" s="478"/>
      <c r="L113" s="487"/>
      <c r="M113" s="478">
        <f t="shared" si="13"/>
        <v>0</v>
      </c>
      <c r="N113" s="487"/>
      <c r="O113" s="478">
        <f t="shared" si="14"/>
        <v>0</v>
      </c>
      <c r="P113" s="478">
        <f t="shared" si="15"/>
        <v>0</v>
      </c>
    </row>
    <row r="114" spans="2:16">
      <c r="B114" s="160" t="str">
        <f t="shared" si="16"/>
        <v/>
      </c>
      <c r="C114" s="472">
        <f>IF(D93="","-",+C113+1)</f>
        <v>2033</v>
      </c>
      <c r="D114" s="347">
        <f>IF(F113+SUM(E$99:E113)=D$92,F113,D$92-SUM(E$99:E113))</f>
        <v>1293756</v>
      </c>
      <c r="E114" s="484">
        <f t="shared" si="17"/>
        <v>47835</v>
      </c>
      <c r="F114" s="485">
        <f t="shared" si="18"/>
        <v>1245921</v>
      </c>
      <c r="G114" s="485">
        <f t="shared" si="19"/>
        <v>1269838.5</v>
      </c>
      <c r="H114" s="486">
        <f t="shared" si="20"/>
        <v>192333.46961388446</v>
      </c>
      <c r="I114" s="542">
        <f t="shared" si="21"/>
        <v>192333.46961388446</v>
      </c>
      <c r="J114" s="478">
        <f t="shared" si="12"/>
        <v>0</v>
      </c>
      <c r="K114" s="478"/>
      <c r="L114" s="487"/>
      <c r="M114" s="478">
        <f t="shared" si="13"/>
        <v>0</v>
      </c>
      <c r="N114" s="487"/>
      <c r="O114" s="478">
        <f t="shared" si="14"/>
        <v>0</v>
      </c>
      <c r="P114" s="478">
        <f t="shared" si="15"/>
        <v>0</v>
      </c>
    </row>
    <row r="115" spans="2:16">
      <c r="B115" s="160" t="str">
        <f t="shared" si="16"/>
        <v/>
      </c>
      <c r="C115" s="472">
        <f>IF(D93="","-",+C114+1)</f>
        <v>2034</v>
      </c>
      <c r="D115" s="347">
        <f>IF(F114+SUM(E$99:E114)=D$92,F114,D$92-SUM(E$99:E114))</f>
        <v>1245921</v>
      </c>
      <c r="E115" s="484">
        <f t="shared" si="17"/>
        <v>47835</v>
      </c>
      <c r="F115" s="485">
        <f t="shared" si="18"/>
        <v>1198086</v>
      </c>
      <c r="G115" s="485">
        <f t="shared" si="19"/>
        <v>1222003.5</v>
      </c>
      <c r="H115" s="486">
        <f t="shared" si="20"/>
        <v>186890.19135922438</v>
      </c>
      <c r="I115" s="542">
        <f t="shared" si="21"/>
        <v>186890.19135922438</v>
      </c>
      <c r="J115" s="478">
        <f t="shared" si="12"/>
        <v>0</v>
      </c>
      <c r="K115" s="478"/>
      <c r="L115" s="487"/>
      <c r="M115" s="478">
        <f t="shared" si="13"/>
        <v>0</v>
      </c>
      <c r="N115" s="487"/>
      <c r="O115" s="478">
        <f t="shared" si="14"/>
        <v>0</v>
      </c>
      <c r="P115" s="478">
        <f t="shared" si="15"/>
        <v>0</v>
      </c>
    </row>
    <row r="116" spans="2:16">
      <c r="B116" s="160" t="str">
        <f t="shared" si="16"/>
        <v/>
      </c>
      <c r="C116" s="472">
        <f>IF(D93="","-",+C115+1)</f>
        <v>2035</v>
      </c>
      <c r="D116" s="347">
        <f>IF(F115+SUM(E$99:E115)=D$92,F115,D$92-SUM(E$99:E115))</f>
        <v>1198086</v>
      </c>
      <c r="E116" s="484">
        <f t="shared" si="17"/>
        <v>47835</v>
      </c>
      <c r="F116" s="485">
        <f t="shared" si="18"/>
        <v>1150251</v>
      </c>
      <c r="G116" s="485">
        <f t="shared" si="19"/>
        <v>1174168.5</v>
      </c>
      <c r="H116" s="486">
        <f t="shared" si="20"/>
        <v>181446.9131045643</v>
      </c>
      <c r="I116" s="542">
        <f t="shared" si="21"/>
        <v>181446.9131045643</v>
      </c>
      <c r="J116" s="478">
        <f t="shared" si="12"/>
        <v>0</v>
      </c>
      <c r="K116" s="478"/>
      <c r="L116" s="487"/>
      <c r="M116" s="478">
        <f t="shared" si="13"/>
        <v>0</v>
      </c>
      <c r="N116" s="487"/>
      <c r="O116" s="478">
        <f t="shared" si="14"/>
        <v>0</v>
      </c>
      <c r="P116" s="478">
        <f t="shared" si="15"/>
        <v>0</v>
      </c>
    </row>
    <row r="117" spans="2:16">
      <c r="B117" s="160" t="str">
        <f t="shared" si="16"/>
        <v/>
      </c>
      <c r="C117" s="472">
        <f>IF(D93="","-",+C116+1)</f>
        <v>2036</v>
      </c>
      <c r="D117" s="347">
        <f>IF(F116+SUM(E$99:E116)=D$92,F116,D$92-SUM(E$99:E116))</f>
        <v>1150251</v>
      </c>
      <c r="E117" s="484">
        <f t="shared" si="17"/>
        <v>47835</v>
      </c>
      <c r="F117" s="485">
        <f t="shared" si="18"/>
        <v>1102416</v>
      </c>
      <c r="G117" s="485">
        <f t="shared" si="19"/>
        <v>1126333.5</v>
      </c>
      <c r="H117" s="486">
        <f t="shared" si="20"/>
        <v>176003.63484990422</v>
      </c>
      <c r="I117" s="542">
        <f t="shared" si="21"/>
        <v>176003.63484990422</v>
      </c>
      <c r="J117" s="478">
        <f t="shared" si="12"/>
        <v>0</v>
      </c>
      <c r="K117" s="478"/>
      <c r="L117" s="487"/>
      <c r="M117" s="478">
        <f t="shared" si="13"/>
        <v>0</v>
      </c>
      <c r="N117" s="487"/>
      <c r="O117" s="478">
        <f t="shared" si="14"/>
        <v>0</v>
      </c>
      <c r="P117" s="478">
        <f t="shared" si="15"/>
        <v>0</v>
      </c>
    </row>
    <row r="118" spans="2:16">
      <c r="B118" s="160" t="str">
        <f t="shared" si="16"/>
        <v/>
      </c>
      <c r="C118" s="472">
        <f>IF(D93="","-",+C117+1)</f>
        <v>2037</v>
      </c>
      <c r="D118" s="347">
        <f>IF(F117+SUM(E$99:E117)=D$92,F117,D$92-SUM(E$99:E117))</f>
        <v>1102416</v>
      </c>
      <c r="E118" s="484">
        <f t="shared" si="17"/>
        <v>47835</v>
      </c>
      <c r="F118" s="485">
        <f t="shared" si="18"/>
        <v>1054581</v>
      </c>
      <c r="G118" s="485">
        <f t="shared" si="19"/>
        <v>1078498.5</v>
      </c>
      <c r="H118" s="486">
        <f t="shared" si="20"/>
        <v>170560.35659524417</v>
      </c>
      <c r="I118" s="542">
        <f t="shared" si="21"/>
        <v>170560.35659524417</v>
      </c>
      <c r="J118" s="478">
        <f t="shared" si="12"/>
        <v>0</v>
      </c>
      <c r="K118" s="478"/>
      <c r="L118" s="487"/>
      <c r="M118" s="478">
        <f t="shared" si="13"/>
        <v>0</v>
      </c>
      <c r="N118" s="487"/>
      <c r="O118" s="478">
        <f t="shared" si="14"/>
        <v>0</v>
      </c>
      <c r="P118" s="478">
        <f t="shared" si="15"/>
        <v>0</v>
      </c>
    </row>
    <row r="119" spans="2:16">
      <c r="B119" s="160" t="str">
        <f t="shared" si="16"/>
        <v/>
      </c>
      <c r="C119" s="472">
        <f>IF(D93="","-",+C118+1)</f>
        <v>2038</v>
      </c>
      <c r="D119" s="347">
        <f>IF(F118+SUM(E$99:E118)=D$92,F118,D$92-SUM(E$99:E118))</f>
        <v>1054581</v>
      </c>
      <c r="E119" s="484">
        <f t="shared" si="17"/>
        <v>47835</v>
      </c>
      <c r="F119" s="485">
        <f t="shared" si="18"/>
        <v>1006746</v>
      </c>
      <c r="G119" s="485">
        <f t="shared" si="19"/>
        <v>1030663.5</v>
      </c>
      <c r="H119" s="486">
        <f t="shared" si="20"/>
        <v>165117.07834058409</v>
      </c>
      <c r="I119" s="542">
        <f t="shared" si="21"/>
        <v>165117.07834058409</v>
      </c>
      <c r="J119" s="478">
        <f t="shared" si="12"/>
        <v>0</v>
      </c>
      <c r="K119" s="478"/>
      <c r="L119" s="487"/>
      <c r="M119" s="478">
        <f t="shared" si="13"/>
        <v>0</v>
      </c>
      <c r="N119" s="487"/>
      <c r="O119" s="478">
        <f t="shared" si="14"/>
        <v>0</v>
      </c>
      <c r="P119" s="478">
        <f t="shared" si="15"/>
        <v>0</v>
      </c>
    </row>
    <row r="120" spans="2:16">
      <c r="B120" s="160" t="str">
        <f t="shared" si="16"/>
        <v/>
      </c>
      <c r="C120" s="472">
        <f>IF(D93="","-",+C119+1)</f>
        <v>2039</v>
      </c>
      <c r="D120" s="347">
        <f>IF(F119+SUM(E$99:E119)=D$92,F119,D$92-SUM(E$99:E119))</f>
        <v>1006746</v>
      </c>
      <c r="E120" s="484">
        <f t="shared" si="17"/>
        <v>47835</v>
      </c>
      <c r="F120" s="485">
        <f t="shared" si="18"/>
        <v>958911</v>
      </c>
      <c r="G120" s="485">
        <f t="shared" si="19"/>
        <v>982828.5</v>
      </c>
      <c r="H120" s="486">
        <f t="shared" si="20"/>
        <v>159673.80008592404</v>
      </c>
      <c r="I120" s="542">
        <f t="shared" si="21"/>
        <v>159673.80008592404</v>
      </c>
      <c r="J120" s="478">
        <f t="shared" si="12"/>
        <v>0</v>
      </c>
      <c r="K120" s="478"/>
      <c r="L120" s="487"/>
      <c r="M120" s="478">
        <f t="shared" si="13"/>
        <v>0</v>
      </c>
      <c r="N120" s="487"/>
      <c r="O120" s="478">
        <f t="shared" si="14"/>
        <v>0</v>
      </c>
      <c r="P120" s="478">
        <f t="shared" si="15"/>
        <v>0</v>
      </c>
    </row>
    <row r="121" spans="2:16">
      <c r="B121" s="160" t="str">
        <f t="shared" si="16"/>
        <v/>
      </c>
      <c r="C121" s="472">
        <f>IF(D93="","-",+C120+1)</f>
        <v>2040</v>
      </c>
      <c r="D121" s="347">
        <f>IF(F120+SUM(E$99:E120)=D$92,F120,D$92-SUM(E$99:E120))</f>
        <v>958911</v>
      </c>
      <c r="E121" s="484">
        <f t="shared" si="17"/>
        <v>47835</v>
      </c>
      <c r="F121" s="485">
        <f t="shared" si="18"/>
        <v>911076</v>
      </c>
      <c r="G121" s="485">
        <f t="shared" si="19"/>
        <v>934993.5</v>
      </c>
      <c r="H121" s="486">
        <f t="shared" si="20"/>
        <v>154230.52183126396</v>
      </c>
      <c r="I121" s="542">
        <f t="shared" si="21"/>
        <v>154230.52183126396</v>
      </c>
      <c r="J121" s="478">
        <f t="shared" si="12"/>
        <v>0</v>
      </c>
      <c r="K121" s="478"/>
      <c r="L121" s="487"/>
      <c r="M121" s="478">
        <f t="shared" si="13"/>
        <v>0</v>
      </c>
      <c r="N121" s="487"/>
      <c r="O121" s="478">
        <f t="shared" si="14"/>
        <v>0</v>
      </c>
      <c r="P121" s="478">
        <f t="shared" si="15"/>
        <v>0</v>
      </c>
    </row>
    <row r="122" spans="2:16">
      <c r="B122" s="160" t="str">
        <f t="shared" si="16"/>
        <v/>
      </c>
      <c r="C122" s="472">
        <f>IF(D93="","-",+C121+1)</f>
        <v>2041</v>
      </c>
      <c r="D122" s="347">
        <f>IF(F121+SUM(E$99:E121)=D$92,F121,D$92-SUM(E$99:E121))</f>
        <v>911076</v>
      </c>
      <c r="E122" s="484">
        <f t="shared" si="17"/>
        <v>47835</v>
      </c>
      <c r="F122" s="485">
        <f t="shared" si="18"/>
        <v>863241</v>
      </c>
      <c r="G122" s="485">
        <f t="shared" si="19"/>
        <v>887158.5</v>
      </c>
      <c r="H122" s="486">
        <f t="shared" si="20"/>
        <v>148787.24357660388</v>
      </c>
      <c r="I122" s="542">
        <f t="shared" si="21"/>
        <v>148787.24357660388</v>
      </c>
      <c r="J122" s="478">
        <f t="shared" si="12"/>
        <v>0</v>
      </c>
      <c r="K122" s="478"/>
      <c r="L122" s="487"/>
      <c r="M122" s="478">
        <f t="shared" si="13"/>
        <v>0</v>
      </c>
      <c r="N122" s="487"/>
      <c r="O122" s="478">
        <f t="shared" si="14"/>
        <v>0</v>
      </c>
      <c r="P122" s="478">
        <f t="shared" si="15"/>
        <v>0</v>
      </c>
    </row>
    <row r="123" spans="2:16">
      <c r="B123" s="160" t="str">
        <f t="shared" si="16"/>
        <v/>
      </c>
      <c r="C123" s="472">
        <f>IF(D93="","-",+C122+1)</f>
        <v>2042</v>
      </c>
      <c r="D123" s="347">
        <f>IF(F122+SUM(E$99:E122)=D$92,F122,D$92-SUM(E$99:E122))</f>
        <v>863241</v>
      </c>
      <c r="E123" s="484">
        <f t="shared" si="17"/>
        <v>47835</v>
      </c>
      <c r="F123" s="485">
        <f t="shared" si="18"/>
        <v>815406</v>
      </c>
      <c r="G123" s="485">
        <f t="shared" si="19"/>
        <v>839323.5</v>
      </c>
      <c r="H123" s="486">
        <f t="shared" si="20"/>
        <v>143343.9653219438</v>
      </c>
      <c r="I123" s="542">
        <f t="shared" si="21"/>
        <v>143343.9653219438</v>
      </c>
      <c r="J123" s="478">
        <f t="shared" si="12"/>
        <v>0</v>
      </c>
      <c r="K123" s="478"/>
      <c r="L123" s="487"/>
      <c r="M123" s="478">
        <f t="shared" si="13"/>
        <v>0</v>
      </c>
      <c r="N123" s="487"/>
      <c r="O123" s="478">
        <f t="shared" si="14"/>
        <v>0</v>
      </c>
      <c r="P123" s="478">
        <f t="shared" si="15"/>
        <v>0</v>
      </c>
    </row>
    <row r="124" spans="2:16">
      <c r="B124" s="160" t="str">
        <f t="shared" si="16"/>
        <v/>
      </c>
      <c r="C124" s="472">
        <f>IF(D93="","-",+C123+1)</f>
        <v>2043</v>
      </c>
      <c r="D124" s="347">
        <f>IF(F123+SUM(E$99:E123)=D$92,F123,D$92-SUM(E$99:E123))</f>
        <v>815406</v>
      </c>
      <c r="E124" s="484">
        <f t="shared" si="17"/>
        <v>47835</v>
      </c>
      <c r="F124" s="485">
        <f t="shared" si="18"/>
        <v>767571</v>
      </c>
      <c r="G124" s="485">
        <f t="shared" si="19"/>
        <v>791488.5</v>
      </c>
      <c r="H124" s="486">
        <f t="shared" si="20"/>
        <v>137900.68706728372</v>
      </c>
      <c r="I124" s="542">
        <f t="shared" si="21"/>
        <v>137900.68706728372</v>
      </c>
      <c r="J124" s="478">
        <f t="shared" si="12"/>
        <v>0</v>
      </c>
      <c r="K124" s="478"/>
      <c r="L124" s="487"/>
      <c r="M124" s="478">
        <f t="shared" si="13"/>
        <v>0</v>
      </c>
      <c r="N124" s="487"/>
      <c r="O124" s="478">
        <f t="shared" si="14"/>
        <v>0</v>
      </c>
      <c r="P124" s="478">
        <f t="shared" si="15"/>
        <v>0</v>
      </c>
    </row>
    <row r="125" spans="2:16">
      <c r="B125" s="160" t="str">
        <f t="shared" si="16"/>
        <v/>
      </c>
      <c r="C125" s="472">
        <f>IF(D93="","-",+C124+1)</f>
        <v>2044</v>
      </c>
      <c r="D125" s="347">
        <f>IF(F124+SUM(E$99:E124)=D$92,F124,D$92-SUM(E$99:E124))</f>
        <v>767571</v>
      </c>
      <c r="E125" s="484">
        <f t="shared" si="17"/>
        <v>47835</v>
      </c>
      <c r="F125" s="485">
        <f t="shared" si="18"/>
        <v>719736</v>
      </c>
      <c r="G125" s="485">
        <f t="shared" si="19"/>
        <v>743653.5</v>
      </c>
      <c r="H125" s="486">
        <f t="shared" si="20"/>
        <v>132457.40881262367</v>
      </c>
      <c r="I125" s="542">
        <f t="shared" si="21"/>
        <v>132457.40881262367</v>
      </c>
      <c r="J125" s="478">
        <f t="shared" si="12"/>
        <v>0</v>
      </c>
      <c r="K125" s="478"/>
      <c r="L125" s="487"/>
      <c r="M125" s="478">
        <f t="shared" si="13"/>
        <v>0</v>
      </c>
      <c r="N125" s="487"/>
      <c r="O125" s="478">
        <f t="shared" si="14"/>
        <v>0</v>
      </c>
      <c r="P125" s="478">
        <f t="shared" si="15"/>
        <v>0</v>
      </c>
    </row>
    <row r="126" spans="2:16">
      <c r="B126" s="160" t="str">
        <f t="shared" si="16"/>
        <v/>
      </c>
      <c r="C126" s="472">
        <f>IF(D93="","-",+C125+1)</f>
        <v>2045</v>
      </c>
      <c r="D126" s="347">
        <f>IF(F125+SUM(E$99:E125)=D$92,F125,D$92-SUM(E$99:E125))</f>
        <v>719736</v>
      </c>
      <c r="E126" s="484">
        <f t="shared" si="17"/>
        <v>47835</v>
      </c>
      <c r="F126" s="485">
        <f t="shared" si="18"/>
        <v>671901</v>
      </c>
      <c r="G126" s="485">
        <f t="shared" si="19"/>
        <v>695818.5</v>
      </c>
      <c r="H126" s="486">
        <f t="shared" si="20"/>
        <v>127014.1305579636</v>
      </c>
      <c r="I126" s="542">
        <f t="shared" si="21"/>
        <v>127014.1305579636</v>
      </c>
      <c r="J126" s="478">
        <f t="shared" si="12"/>
        <v>0</v>
      </c>
      <c r="K126" s="478"/>
      <c r="L126" s="487"/>
      <c r="M126" s="478">
        <f t="shared" si="13"/>
        <v>0</v>
      </c>
      <c r="N126" s="487"/>
      <c r="O126" s="478">
        <f t="shared" si="14"/>
        <v>0</v>
      </c>
      <c r="P126" s="478">
        <f t="shared" si="15"/>
        <v>0</v>
      </c>
    </row>
    <row r="127" spans="2:16">
      <c r="B127" s="160" t="str">
        <f t="shared" si="16"/>
        <v/>
      </c>
      <c r="C127" s="472">
        <f>IF(D93="","-",+C126+1)</f>
        <v>2046</v>
      </c>
      <c r="D127" s="347">
        <f>IF(F126+SUM(E$99:E126)=D$92,F126,D$92-SUM(E$99:E126))</f>
        <v>671901</v>
      </c>
      <c r="E127" s="484">
        <f t="shared" si="17"/>
        <v>47835</v>
      </c>
      <c r="F127" s="485">
        <f t="shared" si="18"/>
        <v>624066</v>
      </c>
      <c r="G127" s="485">
        <f t="shared" si="19"/>
        <v>647983.5</v>
      </c>
      <c r="H127" s="486">
        <f t="shared" si="20"/>
        <v>121570.85230330353</v>
      </c>
      <c r="I127" s="542">
        <f t="shared" si="21"/>
        <v>121570.85230330353</v>
      </c>
      <c r="J127" s="478">
        <f t="shared" si="12"/>
        <v>0</v>
      </c>
      <c r="K127" s="478"/>
      <c r="L127" s="487"/>
      <c r="M127" s="478">
        <f t="shared" si="13"/>
        <v>0</v>
      </c>
      <c r="N127" s="487"/>
      <c r="O127" s="478">
        <f t="shared" si="14"/>
        <v>0</v>
      </c>
      <c r="P127" s="478">
        <f t="shared" si="15"/>
        <v>0</v>
      </c>
    </row>
    <row r="128" spans="2:16">
      <c r="B128" s="160" t="str">
        <f t="shared" si="16"/>
        <v/>
      </c>
      <c r="C128" s="472">
        <f>IF(D93="","-",+C127+1)</f>
        <v>2047</v>
      </c>
      <c r="D128" s="347">
        <f>IF(F127+SUM(E$99:E127)=D$92,F127,D$92-SUM(E$99:E127))</f>
        <v>624066</v>
      </c>
      <c r="E128" s="484">
        <f t="shared" si="17"/>
        <v>47835</v>
      </c>
      <c r="F128" s="485">
        <f t="shared" si="18"/>
        <v>576231</v>
      </c>
      <c r="G128" s="485">
        <f t="shared" si="19"/>
        <v>600148.5</v>
      </c>
      <c r="H128" s="486">
        <f t="shared" si="20"/>
        <v>116127.57404864345</v>
      </c>
      <c r="I128" s="542">
        <f t="shared" si="21"/>
        <v>116127.57404864345</v>
      </c>
      <c r="J128" s="478">
        <f t="shared" si="12"/>
        <v>0</v>
      </c>
      <c r="K128" s="478"/>
      <c r="L128" s="487"/>
      <c r="M128" s="478">
        <f t="shared" si="13"/>
        <v>0</v>
      </c>
      <c r="N128" s="487"/>
      <c r="O128" s="478">
        <f t="shared" si="14"/>
        <v>0</v>
      </c>
      <c r="P128" s="478">
        <f t="shared" si="15"/>
        <v>0</v>
      </c>
    </row>
    <row r="129" spans="2:16">
      <c r="B129" s="160" t="str">
        <f t="shared" si="16"/>
        <v/>
      </c>
      <c r="C129" s="472">
        <f>IF(D93="","-",+C128+1)</f>
        <v>2048</v>
      </c>
      <c r="D129" s="347">
        <f>IF(F128+SUM(E$99:E128)=D$92,F128,D$92-SUM(E$99:E128))</f>
        <v>576231</v>
      </c>
      <c r="E129" s="484">
        <f t="shared" si="17"/>
        <v>47835</v>
      </c>
      <c r="F129" s="485">
        <f t="shared" si="18"/>
        <v>528396</v>
      </c>
      <c r="G129" s="485">
        <f t="shared" si="19"/>
        <v>552313.5</v>
      </c>
      <c r="H129" s="486">
        <f t="shared" si="20"/>
        <v>110684.29579398339</v>
      </c>
      <c r="I129" s="542">
        <f t="shared" si="21"/>
        <v>110684.29579398339</v>
      </c>
      <c r="J129" s="478">
        <f t="shared" si="12"/>
        <v>0</v>
      </c>
      <c r="K129" s="478"/>
      <c r="L129" s="487"/>
      <c r="M129" s="478">
        <f t="shared" si="13"/>
        <v>0</v>
      </c>
      <c r="N129" s="487"/>
      <c r="O129" s="478">
        <f t="shared" si="14"/>
        <v>0</v>
      </c>
      <c r="P129" s="478">
        <f t="shared" si="15"/>
        <v>0</v>
      </c>
    </row>
    <row r="130" spans="2:16">
      <c r="B130" s="160" t="str">
        <f t="shared" si="16"/>
        <v/>
      </c>
      <c r="C130" s="472">
        <f>IF(D93="","-",+C129+1)</f>
        <v>2049</v>
      </c>
      <c r="D130" s="347">
        <f>IF(F129+SUM(E$99:E129)=D$92,F129,D$92-SUM(E$99:E129))</f>
        <v>528396</v>
      </c>
      <c r="E130" s="484">
        <f t="shared" si="17"/>
        <v>47835</v>
      </c>
      <c r="F130" s="485">
        <f t="shared" si="18"/>
        <v>480561</v>
      </c>
      <c r="G130" s="485">
        <f t="shared" si="19"/>
        <v>504478.5</v>
      </c>
      <c r="H130" s="486">
        <f t="shared" si="20"/>
        <v>105241.01753932331</v>
      </c>
      <c r="I130" s="542">
        <f t="shared" si="21"/>
        <v>105241.01753932331</v>
      </c>
      <c r="J130" s="478">
        <f t="shared" si="12"/>
        <v>0</v>
      </c>
      <c r="K130" s="478"/>
      <c r="L130" s="487"/>
      <c r="M130" s="478">
        <f t="shared" si="13"/>
        <v>0</v>
      </c>
      <c r="N130" s="487"/>
      <c r="O130" s="478">
        <f t="shared" si="14"/>
        <v>0</v>
      </c>
      <c r="P130" s="478">
        <f t="shared" si="15"/>
        <v>0</v>
      </c>
    </row>
    <row r="131" spans="2:16">
      <c r="B131" s="160" t="str">
        <f t="shared" si="16"/>
        <v/>
      </c>
      <c r="C131" s="472">
        <f>IF(D93="","-",+C130+1)</f>
        <v>2050</v>
      </c>
      <c r="D131" s="347">
        <f>IF(F130+SUM(E$99:E130)=D$92,F130,D$92-SUM(E$99:E130))</f>
        <v>480561</v>
      </c>
      <c r="E131" s="484">
        <f t="shared" si="17"/>
        <v>47835</v>
      </c>
      <c r="F131" s="485">
        <f t="shared" si="18"/>
        <v>432726</v>
      </c>
      <c r="G131" s="485">
        <f t="shared" si="19"/>
        <v>456643.5</v>
      </c>
      <c r="H131" s="486">
        <f t="shared" si="20"/>
        <v>99797.739284663243</v>
      </c>
      <c r="I131" s="542">
        <f t="shared" si="21"/>
        <v>99797.739284663243</v>
      </c>
      <c r="J131" s="478">
        <f t="shared" ref="J131:J154" si="22">+I541-H541</f>
        <v>0</v>
      </c>
      <c r="K131" s="478"/>
      <c r="L131" s="487"/>
      <c r="M131" s="478">
        <f t="shared" ref="M131:M154" si="23">IF(L541&lt;&gt;0,+H541-L541,0)</f>
        <v>0</v>
      </c>
      <c r="N131" s="487"/>
      <c r="O131" s="478">
        <f t="shared" ref="O131:O154" si="24">IF(N541&lt;&gt;0,+I541-N541,0)</f>
        <v>0</v>
      </c>
      <c r="P131" s="478">
        <f t="shared" ref="P131:P154" si="25">+O541-M541</f>
        <v>0</v>
      </c>
    </row>
    <row r="132" spans="2:16">
      <c r="B132" s="160" t="str">
        <f t="shared" si="16"/>
        <v/>
      </c>
      <c r="C132" s="472">
        <f>IF(D93="","-",+C131+1)</f>
        <v>2051</v>
      </c>
      <c r="D132" s="347">
        <f>IF(F131+SUM(E$99:E131)=D$92,F131,D$92-SUM(E$99:E131))</f>
        <v>432726</v>
      </c>
      <c r="E132" s="484">
        <f t="shared" si="17"/>
        <v>47835</v>
      </c>
      <c r="F132" s="485">
        <f t="shared" si="18"/>
        <v>384891</v>
      </c>
      <c r="G132" s="485">
        <f t="shared" si="19"/>
        <v>408808.5</v>
      </c>
      <c r="H132" s="486">
        <f t="shared" si="20"/>
        <v>94354.461030003178</v>
      </c>
      <c r="I132" s="542">
        <f t="shared" si="21"/>
        <v>94354.461030003178</v>
      </c>
      <c r="J132" s="478">
        <f t="shared" si="22"/>
        <v>0</v>
      </c>
      <c r="K132" s="478"/>
      <c r="L132" s="487"/>
      <c r="M132" s="478">
        <f t="shared" si="23"/>
        <v>0</v>
      </c>
      <c r="N132" s="487"/>
      <c r="O132" s="478">
        <f t="shared" si="24"/>
        <v>0</v>
      </c>
      <c r="P132" s="478">
        <f t="shared" si="25"/>
        <v>0</v>
      </c>
    </row>
    <row r="133" spans="2:16">
      <c r="B133" s="160" t="str">
        <f t="shared" si="16"/>
        <v/>
      </c>
      <c r="C133" s="472">
        <f>IF(D93="","-",+C132+1)</f>
        <v>2052</v>
      </c>
      <c r="D133" s="347">
        <f>IF(F132+SUM(E$99:E132)=D$92,F132,D$92-SUM(E$99:E132))</f>
        <v>384891</v>
      </c>
      <c r="E133" s="484">
        <f t="shared" si="17"/>
        <v>47835</v>
      </c>
      <c r="F133" s="485">
        <f t="shared" si="18"/>
        <v>337056</v>
      </c>
      <c r="G133" s="485">
        <f t="shared" si="19"/>
        <v>360973.5</v>
      </c>
      <c r="H133" s="486">
        <f t="shared" si="20"/>
        <v>88911.182775343099</v>
      </c>
      <c r="I133" s="542">
        <f t="shared" si="21"/>
        <v>88911.182775343099</v>
      </c>
      <c r="J133" s="478">
        <f t="shared" si="22"/>
        <v>0</v>
      </c>
      <c r="K133" s="478"/>
      <c r="L133" s="487"/>
      <c r="M133" s="478">
        <f t="shared" si="23"/>
        <v>0</v>
      </c>
      <c r="N133" s="487"/>
      <c r="O133" s="478">
        <f t="shared" si="24"/>
        <v>0</v>
      </c>
      <c r="P133" s="478">
        <f t="shared" si="25"/>
        <v>0</v>
      </c>
    </row>
    <row r="134" spans="2:16">
      <c r="B134" s="160" t="str">
        <f t="shared" si="16"/>
        <v/>
      </c>
      <c r="C134" s="472">
        <f>IF(D93="","-",+C133+1)</f>
        <v>2053</v>
      </c>
      <c r="D134" s="347">
        <f>IF(F133+SUM(E$99:E133)=D$92,F133,D$92-SUM(E$99:E133))</f>
        <v>337056</v>
      </c>
      <c r="E134" s="484">
        <f t="shared" si="17"/>
        <v>47835</v>
      </c>
      <c r="F134" s="485">
        <f t="shared" si="18"/>
        <v>289221</v>
      </c>
      <c r="G134" s="485">
        <f t="shared" si="19"/>
        <v>313138.5</v>
      </c>
      <c r="H134" s="486">
        <f t="shared" si="20"/>
        <v>83467.90452068302</v>
      </c>
      <c r="I134" s="542">
        <f t="shared" si="21"/>
        <v>83467.90452068302</v>
      </c>
      <c r="J134" s="478">
        <f t="shared" si="22"/>
        <v>0</v>
      </c>
      <c r="K134" s="478"/>
      <c r="L134" s="487"/>
      <c r="M134" s="478">
        <f t="shared" si="23"/>
        <v>0</v>
      </c>
      <c r="N134" s="487"/>
      <c r="O134" s="478">
        <f t="shared" si="24"/>
        <v>0</v>
      </c>
      <c r="P134" s="478">
        <f t="shared" si="25"/>
        <v>0</v>
      </c>
    </row>
    <row r="135" spans="2:16">
      <c r="B135" s="160" t="str">
        <f t="shared" si="16"/>
        <v/>
      </c>
      <c r="C135" s="472">
        <f>IF(D93="","-",+C134+1)</f>
        <v>2054</v>
      </c>
      <c r="D135" s="347">
        <f>IF(F134+SUM(E$99:E134)=D$92,F134,D$92-SUM(E$99:E134))</f>
        <v>289221</v>
      </c>
      <c r="E135" s="484">
        <f t="shared" si="17"/>
        <v>47835</v>
      </c>
      <c r="F135" s="485">
        <f t="shared" si="18"/>
        <v>241386</v>
      </c>
      <c r="G135" s="485">
        <f t="shared" si="19"/>
        <v>265303.5</v>
      </c>
      <c r="H135" s="486">
        <f t="shared" si="20"/>
        <v>78024.626266022955</v>
      </c>
      <c r="I135" s="542">
        <f t="shared" si="21"/>
        <v>78024.626266022955</v>
      </c>
      <c r="J135" s="478">
        <f t="shared" si="22"/>
        <v>0</v>
      </c>
      <c r="K135" s="478"/>
      <c r="L135" s="487"/>
      <c r="M135" s="478">
        <f t="shared" si="23"/>
        <v>0</v>
      </c>
      <c r="N135" s="487"/>
      <c r="O135" s="478">
        <f t="shared" si="24"/>
        <v>0</v>
      </c>
      <c r="P135" s="478">
        <f t="shared" si="25"/>
        <v>0</v>
      </c>
    </row>
    <row r="136" spans="2:16">
      <c r="B136" s="160" t="str">
        <f t="shared" si="16"/>
        <v/>
      </c>
      <c r="C136" s="472">
        <f>IF(D93="","-",+C135+1)</f>
        <v>2055</v>
      </c>
      <c r="D136" s="347">
        <f>IF(F135+SUM(E$99:E135)=D$92,F135,D$92-SUM(E$99:E135))</f>
        <v>241386</v>
      </c>
      <c r="E136" s="484">
        <f t="shared" si="17"/>
        <v>47835</v>
      </c>
      <c r="F136" s="485">
        <f t="shared" si="18"/>
        <v>193551</v>
      </c>
      <c r="G136" s="485">
        <f t="shared" si="19"/>
        <v>217468.5</v>
      </c>
      <c r="H136" s="486">
        <f t="shared" si="20"/>
        <v>72581.34801136289</v>
      </c>
      <c r="I136" s="542">
        <f t="shared" si="21"/>
        <v>72581.34801136289</v>
      </c>
      <c r="J136" s="478">
        <f t="shared" si="22"/>
        <v>0</v>
      </c>
      <c r="K136" s="478"/>
      <c r="L136" s="487"/>
      <c r="M136" s="478">
        <f t="shared" si="23"/>
        <v>0</v>
      </c>
      <c r="N136" s="487"/>
      <c r="O136" s="478">
        <f t="shared" si="24"/>
        <v>0</v>
      </c>
      <c r="P136" s="478">
        <f t="shared" si="25"/>
        <v>0</v>
      </c>
    </row>
    <row r="137" spans="2:16">
      <c r="B137" s="160" t="str">
        <f t="shared" si="16"/>
        <v/>
      </c>
      <c r="C137" s="472">
        <f>IF(D93="","-",+C136+1)</f>
        <v>2056</v>
      </c>
      <c r="D137" s="347">
        <f>IF(F136+SUM(E$99:E136)=D$92,F136,D$92-SUM(E$99:E136))</f>
        <v>193551</v>
      </c>
      <c r="E137" s="484">
        <f t="shared" si="17"/>
        <v>47835</v>
      </c>
      <c r="F137" s="485">
        <f t="shared" si="18"/>
        <v>145716</v>
      </c>
      <c r="G137" s="485">
        <f t="shared" si="19"/>
        <v>169633.5</v>
      </c>
      <c r="H137" s="486">
        <f t="shared" si="20"/>
        <v>67138.069756702811</v>
      </c>
      <c r="I137" s="542">
        <f t="shared" si="21"/>
        <v>67138.069756702811</v>
      </c>
      <c r="J137" s="478">
        <f t="shared" si="22"/>
        <v>0</v>
      </c>
      <c r="K137" s="478"/>
      <c r="L137" s="487"/>
      <c r="M137" s="478">
        <f t="shared" si="23"/>
        <v>0</v>
      </c>
      <c r="N137" s="487"/>
      <c r="O137" s="478">
        <f t="shared" si="24"/>
        <v>0</v>
      </c>
      <c r="P137" s="478">
        <f t="shared" si="25"/>
        <v>0</v>
      </c>
    </row>
    <row r="138" spans="2:16">
      <c r="B138" s="160" t="str">
        <f t="shared" si="16"/>
        <v/>
      </c>
      <c r="C138" s="472">
        <f>IF(D93="","-",+C137+1)</f>
        <v>2057</v>
      </c>
      <c r="D138" s="347">
        <f>IF(F137+SUM(E$99:E137)=D$92,F137,D$92-SUM(E$99:E137))</f>
        <v>145716</v>
      </c>
      <c r="E138" s="484">
        <f t="shared" si="17"/>
        <v>47835</v>
      </c>
      <c r="F138" s="485">
        <f t="shared" si="18"/>
        <v>97881</v>
      </c>
      <c r="G138" s="485">
        <f t="shared" si="19"/>
        <v>121798.5</v>
      </c>
      <c r="H138" s="486">
        <f t="shared" si="20"/>
        <v>61694.791502042746</v>
      </c>
      <c r="I138" s="542">
        <f t="shared" si="21"/>
        <v>61694.791502042746</v>
      </c>
      <c r="J138" s="478">
        <f t="shared" si="22"/>
        <v>0</v>
      </c>
      <c r="K138" s="478"/>
      <c r="L138" s="487"/>
      <c r="M138" s="478">
        <f t="shared" si="23"/>
        <v>0</v>
      </c>
      <c r="N138" s="487"/>
      <c r="O138" s="478">
        <f t="shared" si="24"/>
        <v>0</v>
      </c>
      <c r="P138" s="478">
        <f t="shared" si="25"/>
        <v>0</v>
      </c>
    </row>
    <row r="139" spans="2:16">
      <c r="B139" s="160" t="str">
        <f t="shared" si="16"/>
        <v/>
      </c>
      <c r="C139" s="472">
        <f>IF(D93="","-",+C138+1)</f>
        <v>2058</v>
      </c>
      <c r="D139" s="347">
        <f>IF(F138+SUM(E$99:E138)=D$92,F138,D$92-SUM(E$99:E138))</f>
        <v>97881</v>
      </c>
      <c r="E139" s="484">
        <f t="shared" si="17"/>
        <v>47835</v>
      </c>
      <c r="F139" s="485">
        <f t="shared" si="18"/>
        <v>50046</v>
      </c>
      <c r="G139" s="485">
        <f t="shared" si="19"/>
        <v>73963.5</v>
      </c>
      <c r="H139" s="486">
        <f t="shared" si="20"/>
        <v>56251.513247382674</v>
      </c>
      <c r="I139" s="542">
        <f t="shared" si="21"/>
        <v>56251.513247382674</v>
      </c>
      <c r="J139" s="478">
        <f t="shared" si="22"/>
        <v>0</v>
      </c>
      <c r="K139" s="478"/>
      <c r="L139" s="487"/>
      <c r="M139" s="478">
        <f t="shared" si="23"/>
        <v>0</v>
      </c>
      <c r="N139" s="487"/>
      <c r="O139" s="478">
        <f t="shared" si="24"/>
        <v>0</v>
      </c>
      <c r="P139" s="478">
        <f t="shared" si="25"/>
        <v>0</v>
      </c>
    </row>
    <row r="140" spans="2:16">
      <c r="B140" s="160" t="str">
        <f t="shared" si="16"/>
        <v/>
      </c>
      <c r="C140" s="472">
        <f>IF(D93="","-",+C139+1)</f>
        <v>2059</v>
      </c>
      <c r="D140" s="347">
        <f>IF(F139+SUM(E$99:E139)=D$92,F139,D$92-SUM(E$99:E139))</f>
        <v>50046</v>
      </c>
      <c r="E140" s="484">
        <f t="shared" si="17"/>
        <v>47835</v>
      </c>
      <c r="F140" s="485">
        <f t="shared" si="18"/>
        <v>2211</v>
      </c>
      <c r="G140" s="485">
        <f t="shared" si="19"/>
        <v>26128.5</v>
      </c>
      <c r="H140" s="486">
        <f t="shared" si="20"/>
        <v>50808.234992722602</v>
      </c>
      <c r="I140" s="542">
        <f t="shared" si="21"/>
        <v>50808.234992722602</v>
      </c>
      <c r="J140" s="478">
        <f t="shared" si="22"/>
        <v>0</v>
      </c>
      <c r="K140" s="478"/>
      <c r="L140" s="487"/>
      <c r="M140" s="478">
        <f t="shared" si="23"/>
        <v>0</v>
      </c>
      <c r="N140" s="487"/>
      <c r="O140" s="478">
        <f t="shared" si="24"/>
        <v>0</v>
      </c>
      <c r="P140" s="478">
        <f t="shared" si="25"/>
        <v>0</v>
      </c>
    </row>
    <row r="141" spans="2:16">
      <c r="B141" s="160" t="str">
        <f t="shared" si="16"/>
        <v/>
      </c>
      <c r="C141" s="472">
        <f>IF(D93="","-",+C140+1)</f>
        <v>2060</v>
      </c>
      <c r="D141" s="347">
        <f>IF(F140+SUM(E$99:E140)=D$92,F140,D$92-SUM(E$99:E140))</f>
        <v>2211</v>
      </c>
      <c r="E141" s="484">
        <f t="shared" si="17"/>
        <v>2211</v>
      </c>
      <c r="F141" s="485">
        <f t="shared" si="18"/>
        <v>0</v>
      </c>
      <c r="G141" s="485">
        <f t="shared" si="19"/>
        <v>1105.5</v>
      </c>
      <c r="H141" s="486">
        <f t="shared" si="20"/>
        <v>2336.7979326962832</v>
      </c>
      <c r="I141" s="542">
        <f t="shared" si="21"/>
        <v>2336.7979326962832</v>
      </c>
      <c r="J141" s="478">
        <f t="shared" si="22"/>
        <v>0</v>
      </c>
      <c r="K141" s="478"/>
      <c r="L141" s="487"/>
      <c r="M141" s="478">
        <f t="shared" si="23"/>
        <v>0</v>
      </c>
      <c r="N141" s="487"/>
      <c r="O141" s="478">
        <f t="shared" si="24"/>
        <v>0</v>
      </c>
      <c r="P141" s="478">
        <f t="shared" si="25"/>
        <v>0</v>
      </c>
    </row>
    <row r="142" spans="2:16">
      <c r="B142" s="160" t="str">
        <f t="shared" si="16"/>
        <v/>
      </c>
      <c r="C142" s="472">
        <f>IF(D93="","-",+C141+1)</f>
        <v>2061</v>
      </c>
      <c r="D142" s="347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486">
        <f t="shared" si="20"/>
        <v>0</v>
      </c>
      <c r="I142" s="542">
        <f t="shared" si="21"/>
        <v>0</v>
      </c>
      <c r="J142" s="478">
        <f t="shared" si="22"/>
        <v>0</v>
      </c>
      <c r="K142" s="478"/>
      <c r="L142" s="487"/>
      <c r="M142" s="478">
        <f t="shared" si="23"/>
        <v>0</v>
      </c>
      <c r="N142" s="487"/>
      <c r="O142" s="478">
        <f t="shared" si="24"/>
        <v>0</v>
      </c>
      <c r="P142" s="478">
        <f t="shared" si="25"/>
        <v>0</v>
      </c>
    </row>
    <row r="143" spans="2:16">
      <c r="B143" s="160" t="str">
        <f t="shared" si="16"/>
        <v/>
      </c>
      <c r="C143" s="472">
        <f>IF(D93="","-",+C142+1)</f>
        <v>2062</v>
      </c>
      <c r="D143" s="347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486">
        <f t="shared" si="20"/>
        <v>0</v>
      </c>
      <c r="I143" s="542">
        <f t="shared" si="21"/>
        <v>0</v>
      </c>
      <c r="J143" s="478">
        <f t="shared" si="22"/>
        <v>0</v>
      </c>
      <c r="K143" s="478"/>
      <c r="L143" s="487"/>
      <c r="M143" s="478">
        <f t="shared" si="23"/>
        <v>0</v>
      </c>
      <c r="N143" s="487"/>
      <c r="O143" s="478">
        <f t="shared" si="24"/>
        <v>0</v>
      </c>
      <c r="P143" s="478">
        <f t="shared" si="25"/>
        <v>0</v>
      </c>
    </row>
    <row r="144" spans="2:16">
      <c r="B144" s="160" t="str">
        <f t="shared" si="16"/>
        <v/>
      </c>
      <c r="C144" s="472">
        <f>IF(D93="","-",+C143+1)</f>
        <v>2063</v>
      </c>
      <c r="D144" s="347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486">
        <f t="shared" si="20"/>
        <v>0</v>
      </c>
      <c r="I144" s="542">
        <f t="shared" si="21"/>
        <v>0</v>
      </c>
      <c r="J144" s="478">
        <f t="shared" si="22"/>
        <v>0</v>
      </c>
      <c r="K144" s="478"/>
      <c r="L144" s="487"/>
      <c r="M144" s="478">
        <f t="shared" si="23"/>
        <v>0</v>
      </c>
      <c r="N144" s="487"/>
      <c r="O144" s="478">
        <f t="shared" si="24"/>
        <v>0</v>
      </c>
      <c r="P144" s="478">
        <f t="shared" si="25"/>
        <v>0</v>
      </c>
    </row>
    <row r="145" spans="2:16">
      <c r="B145" s="160" t="str">
        <f t="shared" si="16"/>
        <v/>
      </c>
      <c r="C145" s="472">
        <f>IF(D93="","-",+C144+1)</f>
        <v>2064</v>
      </c>
      <c r="D145" s="347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486">
        <f t="shared" si="20"/>
        <v>0</v>
      </c>
      <c r="I145" s="542">
        <f t="shared" si="21"/>
        <v>0</v>
      </c>
      <c r="J145" s="478">
        <f t="shared" si="22"/>
        <v>0</v>
      </c>
      <c r="K145" s="478"/>
      <c r="L145" s="487"/>
      <c r="M145" s="478">
        <f t="shared" si="23"/>
        <v>0</v>
      </c>
      <c r="N145" s="487"/>
      <c r="O145" s="478">
        <f t="shared" si="24"/>
        <v>0</v>
      </c>
      <c r="P145" s="478">
        <f t="shared" si="25"/>
        <v>0</v>
      </c>
    </row>
    <row r="146" spans="2:16">
      <c r="B146" s="160" t="str">
        <f t="shared" si="16"/>
        <v/>
      </c>
      <c r="C146" s="472">
        <f>IF(D93="","-",+C145+1)</f>
        <v>2065</v>
      </c>
      <c r="D146" s="347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486">
        <f t="shared" si="20"/>
        <v>0</v>
      </c>
      <c r="I146" s="542">
        <f t="shared" si="21"/>
        <v>0</v>
      </c>
      <c r="J146" s="478">
        <f t="shared" si="22"/>
        <v>0</v>
      </c>
      <c r="K146" s="478"/>
      <c r="L146" s="487"/>
      <c r="M146" s="478">
        <f t="shared" si="23"/>
        <v>0</v>
      </c>
      <c r="N146" s="487"/>
      <c r="O146" s="478">
        <f t="shared" si="24"/>
        <v>0</v>
      </c>
      <c r="P146" s="478">
        <f t="shared" si="25"/>
        <v>0</v>
      </c>
    </row>
    <row r="147" spans="2:16">
      <c r="B147" s="160" t="str">
        <f t="shared" si="16"/>
        <v/>
      </c>
      <c r="C147" s="472">
        <f>IF(D93="","-",+C146+1)</f>
        <v>2066</v>
      </c>
      <c r="D147" s="347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486">
        <f t="shared" si="20"/>
        <v>0</v>
      </c>
      <c r="I147" s="542">
        <f t="shared" si="21"/>
        <v>0</v>
      </c>
      <c r="J147" s="478">
        <f t="shared" si="22"/>
        <v>0</v>
      </c>
      <c r="K147" s="478"/>
      <c r="L147" s="487"/>
      <c r="M147" s="478">
        <f t="shared" si="23"/>
        <v>0</v>
      </c>
      <c r="N147" s="487"/>
      <c r="O147" s="478">
        <f t="shared" si="24"/>
        <v>0</v>
      </c>
      <c r="P147" s="478">
        <f t="shared" si="25"/>
        <v>0</v>
      </c>
    </row>
    <row r="148" spans="2:16">
      <c r="B148" s="160" t="str">
        <f t="shared" si="16"/>
        <v/>
      </c>
      <c r="C148" s="472">
        <f>IF(D93="","-",+C147+1)</f>
        <v>2067</v>
      </c>
      <c r="D148" s="347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486">
        <f t="shared" si="20"/>
        <v>0</v>
      </c>
      <c r="I148" s="542">
        <f t="shared" si="21"/>
        <v>0</v>
      </c>
      <c r="J148" s="478">
        <f t="shared" si="22"/>
        <v>0</v>
      </c>
      <c r="K148" s="478"/>
      <c r="L148" s="487"/>
      <c r="M148" s="478">
        <f t="shared" si="23"/>
        <v>0</v>
      </c>
      <c r="N148" s="487"/>
      <c r="O148" s="478">
        <f t="shared" si="24"/>
        <v>0</v>
      </c>
      <c r="P148" s="478">
        <f t="shared" si="25"/>
        <v>0</v>
      </c>
    </row>
    <row r="149" spans="2:16">
      <c r="B149" s="160" t="str">
        <f t="shared" si="16"/>
        <v/>
      </c>
      <c r="C149" s="472">
        <f>IF(D93="","-",+C148+1)</f>
        <v>2068</v>
      </c>
      <c r="D149" s="347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486">
        <f t="shared" si="20"/>
        <v>0</v>
      </c>
      <c r="I149" s="542">
        <f t="shared" si="21"/>
        <v>0</v>
      </c>
      <c r="J149" s="478">
        <f t="shared" si="22"/>
        <v>0</v>
      </c>
      <c r="K149" s="478"/>
      <c r="L149" s="487"/>
      <c r="M149" s="478">
        <f t="shared" si="23"/>
        <v>0</v>
      </c>
      <c r="N149" s="487"/>
      <c r="O149" s="478">
        <f t="shared" si="24"/>
        <v>0</v>
      </c>
      <c r="P149" s="478">
        <f t="shared" si="25"/>
        <v>0</v>
      </c>
    </row>
    <row r="150" spans="2:16">
      <c r="B150" s="160" t="str">
        <f t="shared" si="16"/>
        <v/>
      </c>
      <c r="C150" s="472">
        <f>IF(D93="","-",+C149+1)</f>
        <v>2069</v>
      </c>
      <c r="D150" s="347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486">
        <f t="shared" si="20"/>
        <v>0</v>
      </c>
      <c r="I150" s="542">
        <f t="shared" si="21"/>
        <v>0</v>
      </c>
      <c r="J150" s="478">
        <f t="shared" si="22"/>
        <v>0</v>
      </c>
      <c r="K150" s="478"/>
      <c r="L150" s="487"/>
      <c r="M150" s="478">
        <f t="shared" si="23"/>
        <v>0</v>
      </c>
      <c r="N150" s="487"/>
      <c r="O150" s="478">
        <f t="shared" si="24"/>
        <v>0</v>
      </c>
      <c r="P150" s="478">
        <f t="shared" si="25"/>
        <v>0</v>
      </c>
    </row>
    <row r="151" spans="2:16">
      <c r="B151" s="160" t="str">
        <f t="shared" si="16"/>
        <v/>
      </c>
      <c r="C151" s="472">
        <f>IF(D93="","-",+C150+1)</f>
        <v>2070</v>
      </c>
      <c r="D151" s="347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486">
        <f t="shared" si="20"/>
        <v>0</v>
      </c>
      <c r="I151" s="542">
        <f t="shared" si="21"/>
        <v>0</v>
      </c>
      <c r="J151" s="478">
        <f t="shared" si="22"/>
        <v>0</v>
      </c>
      <c r="K151" s="478"/>
      <c r="L151" s="487"/>
      <c r="M151" s="478">
        <f t="shared" si="23"/>
        <v>0</v>
      </c>
      <c r="N151" s="487"/>
      <c r="O151" s="478">
        <f t="shared" si="24"/>
        <v>0</v>
      </c>
      <c r="P151" s="478">
        <f t="shared" si="25"/>
        <v>0</v>
      </c>
    </row>
    <row r="152" spans="2:16">
      <c r="B152" s="160" t="str">
        <f t="shared" si="16"/>
        <v/>
      </c>
      <c r="C152" s="472">
        <f>IF(D93="","-",+C151+1)</f>
        <v>2071</v>
      </c>
      <c r="D152" s="347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486">
        <f t="shared" si="20"/>
        <v>0</v>
      </c>
      <c r="I152" s="542">
        <f t="shared" si="21"/>
        <v>0</v>
      </c>
      <c r="J152" s="478">
        <f t="shared" si="22"/>
        <v>0</v>
      </c>
      <c r="K152" s="478"/>
      <c r="L152" s="487"/>
      <c r="M152" s="478">
        <f t="shared" si="23"/>
        <v>0</v>
      </c>
      <c r="N152" s="487"/>
      <c r="O152" s="478">
        <f t="shared" si="24"/>
        <v>0</v>
      </c>
      <c r="P152" s="478">
        <f t="shared" si="25"/>
        <v>0</v>
      </c>
    </row>
    <row r="153" spans="2:16">
      <c r="B153" s="160" t="str">
        <f t="shared" si="16"/>
        <v/>
      </c>
      <c r="C153" s="472">
        <f>IF(D93="","-",+C152+1)</f>
        <v>2072</v>
      </c>
      <c r="D153" s="347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486">
        <f t="shared" si="20"/>
        <v>0</v>
      </c>
      <c r="I153" s="542">
        <f t="shared" si="21"/>
        <v>0</v>
      </c>
      <c r="J153" s="478">
        <f t="shared" si="22"/>
        <v>0</v>
      </c>
      <c r="K153" s="478"/>
      <c r="L153" s="487"/>
      <c r="M153" s="478">
        <f t="shared" si="23"/>
        <v>0</v>
      </c>
      <c r="N153" s="487"/>
      <c r="O153" s="478">
        <f t="shared" si="24"/>
        <v>0</v>
      </c>
      <c r="P153" s="478">
        <f t="shared" si="25"/>
        <v>0</v>
      </c>
    </row>
    <row r="154" spans="2:16" ht="13.5" thickBot="1">
      <c r="B154" s="160" t="str">
        <f t="shared" si="16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3">
        <f t="shared" ref="H154" si="26">+J$94*G154+E154</f>
        <v>0</v>
      </c>
      <c r="I154" s="614">
        <f t="shared" ref="I154" si="27">+J$95*G154+E154</f>
        <v>0</v>
      </c>
      <c r="J154" s="495">
        <f t="shared" si="22"/>
        <v>0</v>
      </c>
      <c r="K154" s="478"/>
      <c r="L154" s="494"/>
      <c r="M154" s="495">
        <f t="shared" si="23"/>
        <v>0</v>
      </c>
      <c r="N154" s="494"/>
      <c r="O154" s="495">
        <f t="shared" si="24"/>
        <v>0</v>
      </c>
      <c r="P154" s="495">
        <f t="shared" si="25"/>
        <v>0</v>
      </c>
    </row>
    <row r="155" spans="2:16">
      <c r="C155" s="347" t="s">
        <v>77</v>
      </c>
      <c r="D155" s="348"/>
      <c r="E155" s="348">
        <f>SUM(E99:E154)</f>
        <v>1961221</v>
      </c>
      <c r="F155" s="348"/>
      <c r="G155" s="348"/>
      <c r="H155" s="348">
        <f>SUM(H99:H154)</f>
        <v>6600820.041808717</v>
      </c>
      <c r="I155" s="348">
        <f>SUM(I99:I154)</f>
        <v>6600820.041808717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21" priority="1" stopIfTrue="1" operator="equal">
      <formula>$I$10</formula>
    </cfRule>
  </conditionalFormatting>
  <conditionalFormatting sqref="C99:C154">
    <cfRule type="cellIs" dxfId="2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70"/>
  <dimension ref="A1:P162"/>
  <sheetViews>
    <sheetView zoomScaleNormal="100" zoomScaleSheetLayoutView="78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21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40464.576318636115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40464.576318636115</v>
      </c>
      <c r="O6" s="233"/>
      <c r="P6" s="233"/>
    </row>
    <row r="7" spans="1:16" ht="13.5" thickBot="1">
      <c r="C7" s="431" t="s">
        <v>46</v>
      </c>
      <c r="D7" s="599" t="s">
        <v>279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300</v>
      </c>
      <c r="E9" s="577" t="s">
        <v>301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330872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2017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7694.6976744186049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2017</v>
      </c>
      <c r="D17" s="584">
        <v>0</v>
      </c>
      <c r="E17" s="608">
        <v>2847.8260869565215</v>
      </c>
      <c r="F17" s="584">
        <v>259152.17391304349</v>
      </c>
      <c r="G17" s="608">
        <v>19337.763747649027</v>
      </c>
      <c r="H17" s="587">
        <v>19337.763747649027</v>
      </c>
      <c r="I17" s="475">
        <f t="shared" ref="I17:I72" si="0">H17-G17</f>
        <v>0</v>
      </c>
      <c r="J17" s="475"/>
      <c r="K17" s="477">
        <f>+G17</f>
        <v>19337.763747649027</v>
      </c>
      <c r="L17" s="477">
        <f t="shared" ref="L17:L72" si="1">IF(K17&lt;&gt;0,+G17-K17,0)</f>
        <v>0</v>
      </c>
      <c r="M17" s="477">
        <f>+H17</f>
        <v>19337.763747649027</v>
      </c>
      <c r="N17" s="477">
        <f t="shared" ref="N17:N72" si="2">IF(M17&lt;&gt;0,+H17-M17,0)</f>
        <v>0</v>
      </c>
      <c r="O17" s="478">
        <f t="shared" ref="O17:O72" si="3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2018</v>
      </c>
      <c r="D18" s="584">
        <v>259152.17391304349</v>
      </c>
      <c r="E18" s="585">
        <v>5822.2222222222226</v>
      </c>
      <c r="F18" s="584">
        <v>253329.95169082127</v>
      </c>
      <c r="G18" s="585">
        <v>40500.711549338856</v>
      </c>
      <c r="H18" s="587">
        <v>40500.711549338856</v>
      </c>
      <c r="I18" s="475">
        <f t="shared" si="0"/>
        <v>0</v>
      </c>
      <c r="J18" s="475"/>
      <c r="K18" s="478">
        <f>+G18</f>
        <v>40500.711549338856</v>
      </c>
      <c r="L18" s="478">
        <f t="shared" si="1"/>
        <v>0</v>
      </c>
      <c r="M18" s="478">
        <f>+H18</f>
        <v>40500.711549338856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/>
      </c>
      <c r="C19" s="472">
        <f>IF(D11="","-",+C18+1)</f>
        <v>2019</v>
      </c>
      <c r="D19" s="584">
        <v>253329.95169082127</v>
      </c>
      <c r="E19" s="585">
        <v>5822.2222222222226</v>
      </c>
      <c r="F19" s="584">
        <v>247507.72946859905</v>
      </c>
      <c r="G19" s="585">
        <v>39712.758717011195</v>
      </c>
      <c r="H19" s="587">
        <v>39712.758717011195</v>
      </c>
      <c r="I19" s="475">
        <f t="shared" si="0"/>
        <v>0</v>
      </c>
      <c r="J19" s="475"/>
      <c r="K19" s="478">
        <f>+G19</f>
        <v>39712.758717011195</v>
      </c>
      <c r="L19" s="478">
        <f t="shared" ref="L19" si="4">IF(K19&lt;&gt;0,+G19-K19,0)</f>
        <v>0</v>
      </c>
      <c r="M19" s="478">
        <f>+H19</f>
        <v>39712.758717011195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5">IF(D20=F19,"","IU")</f>
        <v>IU</v>
      </c>
      <c r="C20" s="472">
        <f>IF(D11="","-",+C19+1)</f>
        <v>2020</v>
      </c>
      <c r="D20" s="584">
        <v>316379.72946859902</v>
      </c>
      <c r="E20" s="585">
        <v>7877.9047619047615</v>
      </c>
      <c r="F20" s="584">
        <v>308501.82470669429</v>
      </c>
      <c r="G20" s="585">
        <v>41623.00118882845</v>
      </c>
      <c r="H20" s="587">
        <v>41623.00118882845</v>
      </c>
      <c r="I20" s="475">
        <f t="shared" si="0"/>
        <v>0</v>
      </c>
      <c r="J20" s="475"/>
      <c r="K20" s="478">
        <f>+G20</f>
        <v>41623.00118882845</v>
      </c>
      <c r="L20" s="478">
        <f t="shared" ref="L20" si="6">IF(K20&lt;&gt;0,+G20-K20,0)</f>
        <v>0</v>
      </c>
      <c r="M20" s="478">
        <f>+H20</f>
        <v>41623.00118882845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5"/>
        <v>IU</v>
      </c>
      <c r="C21" s="472">
        <f>IF(D11="","-",+C20+1)</f>
        <v>2021</v>
      </c>
      <c r="D21" s="584">
        <v>307774.04692891648</v>
      </c>
      <c r="E21" s="585">
        <v>7694.6976744186049</v>
      </c>
      <c r="F21" s="584">
        <v>300079.34925449785</v>
      </c>
      <c r="G21" s="585">
        <v>40464.576318636115</v>
      </c>
      <c r="H21" s="587">
        <v>40464.576318636115</v>
      </c>
      <c r="I21" s="475">
        <f t="shared" si="0"/>
        <v>0</v>
      </c>
      <c r="J21" s="475"/>
      <c r="K21" s="478">
        <f>+G21</f>
        <v>40464.576318636115</v>
      </c>
      <c r="L21" s="478">
        <f t="shared" ref="L21" si="7">IF(K21&lt;&gt;0,+G21-K21,0)</f>
        <v>0</v>
      </c>
      <c r="M21" s="478">
        <f>+H21</f>
        <v>40464.576318636115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si="5"/>
        <v>IU</v>
      </c>
      <c r="C22" s="472">
        <f>IF(D11="","-",+C21+1)</f>
        <v>2022</v>
      </c>
      <c r="D22" s="483">
        <f>IF(F21+SUM(E$17:E21)=D$10,F21,D$10-SUM(E$17:E21))</f>
        <v>300807.12703227566</v>
      </c>
      <c r="E22" s="484">
        <f t="shared" ref="E22:E72" si="8">IF(+I$14&lt;F21,I$14,D22)</f>
        <v>7694.6976744186049</v>
      </c>
      <c r="F22" s="485">
        <f t="shared" ref="F22:F72" si="9">+D22-E22</f>
        <v>293112.42935785704</v>
      </c>
      <c r="G22" s="486">
        <f t="shared" ref="G22:G72" si="10">(D22+F22)/2*I$12+E22</f>
        <v>41861.801472220715</v>
      </c>
      <c r="H22" s="455">
        <f t="shared" ref="H22:H72" si="11">+(D22+F22)/2*I$13+E22</f>
        <v>41861.801472220715</v>
      </c>
      <c r="I22" s="475">
        <f t="shared" si="0"/>
        <v>0</v>
      </c>
      <c r="J22" s="475"/>
      <c r="K22" s="487"/>
      <c r="L22" s="478">
        <f t="shared" si="1"/>
        <v>0</v>
      </c>
      <c r="M22" s="487"/>
      <c r="N22" s="478">
        <f t="shared" si="2"/>
        <v>0</v>
      </c>
      <c r="O22" s="478">
        <f t="shared" si="3"/>
        <v>0</v>
      </c>
      <c r="P22" s="243"/>
    </row>
    <row r="23" spans="2:16">
      <c r="B23" s="160" t="str">
        <f t="shared" si="5"/>
        <v/>
      </c>
      <c r="C23" s="472">
        <f>IF(D11="","-",+C22+1)</f>
        <v>2023</v>
      </c>
      <c r="D23" s="483">
        <f>IF(F22+SUM(E$17:E22)=D$10,F22,D$10-SUM(E$17:E22))</f>
        <v>293112.42935785704</v>
      </c>
      <c r="E23" s="484">
        <f t="shared" si="8"/>
        <v>7694.6976744186049</v>
      </c>
      <c r="F23" s="485">
        <f t="shared" si="9"/>
        <v>285417.73168343841</v>
      </c>
      <c r="G23" s="486">
        <f t="shared" si="10"/>
        <v>40976.477756892935</v>
      </c>
      <c r="H23" s="455">
        <f t="shared" si="11"/>
        <v>40976.477756892935</v>
      </c>
      <c r="I23" s="475">
        <f t="shared" si="0"/>
        <v>0</v>
      </c>
      <c r="J23" s="475"/>
      <c r="K23" s="487"/>
      <c r="L23" s="478">
        <f t="shared" si="1"/>
        <v>0</v>
      </c>
      <c r="M23" s="487"/>
      <c r="N23" s="478">
        <f t="shared" si="2"/>
        <v>0</v>
      </c>
      <c r="O23" s="478">
        <f t="shared" si="3"/>
        <v>0</v>
      </c>
      <c r="P23" s="243"/>
    </row>
    <row r="24" spans="2:16">
      <c r="B24" s="160" t="str">
        <f t="shared" si="5"/>
        <v/>
      </c>
      <c r="C24" s="472">
        <f>IF(D11="","-",+C23+1)</f>
        <v>2024</v>
      </c>
      <c r="D24" s="483">
        <f>IF(F23+SUM(E$17:E23)=D$10,F23,D$10-SUM(E$17:E23))</f>
        <v>285417.73168343841</v>
      </c>
      <c r="E24" s="484">
        <f t="shared" si="8"/>
        <v>7694.6976744186049</v>
      </c>
      <c r="F24" s="485">
        <f t="shared" si="9"/>
        <v>277723.03400901979</v>
      </c>
      <c r="G24" s="486">
        <f t="shared" si="10"/>
        <v>40091.154041565169</v>
      </c>
      <c r="H24" s="455">
        <f t="shared" si="11"/>
        <v>40091.154041565169</v>
      </c>
      <c r="I24" s="475">
        <f t="shared" si="0"/>
        <v>0</v>
      </c>
      <c r="J24" s="475"/>
      <c r="K24" s="487"/>
      <c r="L24" s="478">
        <f t="shared" si="1"/>
        <v>0</v>
      </c>
      <c r="M24" s="487"/>
      <c r="N24" s="478">
        <f t="shared" si="2"/>
        <v>0</v>
      </c>
      <c r="O24" s="478">
        <f t="shared" si="3"/>
        <v>0</v>
      </c>
      <c r="P24" s="243"/>
    </row>
    <row r="25" spans="2:16">
      <c r="B25" s="160" t="str">
        <f t="shared" si="5"/>
        <v/>
      </c>
      <c r="C25" s="472">
        <f>IF(D11="","-",+C24+1)</f>
        <v>2025</v>
      </c>
      <c r="D25" s="483">
        <f>IF(F24+SUM(E$17:E24)=D$10,F24,D$10-SUM(E$17:E24))</f>
        <v>277723.03400901979</v>
      </c>
      <c r="E25" s="484">
        <f t="shared" si="8"/>
        <v>7694.6976744186049</v>
      </c>
      <c r="F25" s="485">
        <f t="shared" si="9"/>
        <v>270028.33633460116</v>
      </c>
      <c r="G25" s="486">
        <f t="shared" si="10"/>
        <v>39205.830326237388</v>
      </c>
      <c r="H25" s="455">
        <f t="shared" si="11"/>
        <v>39205.830326237388</v>
      </c>
      <c r="I25" s="475">
        <f t="shared" si="0"/>
        <v>0</v>
      </c>
      <c r="J25" s="475"/>
      <c r="K25" s="487"/>
      <c r="L25" s="478">
        <f t="shared" si="1"/>
        <v>0</v>
      </c>
      <c r="M25" s="487"/>
      <c r="N25" s="478">
        <f t="shared" si="2"/>
        <v>0</v>
      </c>
      <c r="O25" s="478">
        <f t="shared" si="3"/>
        <v>0</v>
      </c>
      <c r="P25" s="243"/>
    </row>
    <row r="26" spans="2:16">
      <c r="B26" s="160" t="str">
        <f t="shared" si="5"/>
        <v/>
      </c>
      <c r="C26" s="472">
        <f>IF(D11="","-",+C25+1)</f>
        <v>2026</v>
      </c>
      <c r="D26" s="483">
        <f>IF(F25+SUM(E$17:E25)=D$10,F25,D$10-SUM(E$17:E25))</f>
        <v>270028.33633460116</v>
      </c>
      <c r="E26" s="484">
        <f t="shared" si="8"/>
        <v>7694.6976744186049</v>
      </c>
      <c r="F26" s="485">
        <f t="shared" si="9"/>
        <v>262333.63866018254</v>
      </c>
      <c r="G26" s="486">
        <f t="shared" si="10"/>
        <v>38320.506610909622</v>
      </c>
      <c r="H26" s="455">
        <f t="shared" si="11"/>
        <v>38320.506610909622</v>
      </c>
      <c r="I26" s="475">
        <f t="shared" si="0"/>
        <v>0</v>
      </c>
      <c r="J26" s="475"/>
      <c r="K26" s="487"/>
      <c r="L26" s="478">
        <f t="shared" si="1"/>
        <v>0</v>
      </c>
      <c r="M26" s="487"/>
      <c r="N26" s="478">
        <f t="shared" si="2"/>
        <v>0</v>
      </c>
      <c r="O26" s="478">
        <f t="shared" si="3"/>
        <v>0</v>
      </c>
      <c r="P26" s="243"/>
    </row>
    <row r="27" spans="2:16">
      <c r="B27" s="160" t="str">
        <f t="shared" si="5"/>
        <v/>
      </c>
      <c r="C27" s="472">
        <f>IF(D11="","-",+C26+1)</f>
        <v>2027</v>
      </c>
      <c r="D27" s="483">
        <f>IF(F26+SUM(E$17:E26)=D$10,F26,D$10-SUM(E$17:E26))</f>
        <v>262333.63866018254</v>
      </c>
      <c r="E27" s="484">
        <f t="shared" si="8"/>
        <v>7694.6976744186049</v>
      </c>
      <c r="F27" s="485">
        <f t="shared" si="9"/>
        <v>254638.94098576394</v>
      </c>
      <c r="G27" s="486">
        <f t="shared" si="10"/>
        <v>37435.182895581849</v>
      </c>
      <c r="H27" s="455">
        <f t="shared" si="11"/>
        <v>37435.182895581849</v>
      </c>
      <c r="I27" s="475">
        <f t="shared" si="0"/>
        <v>0</v>
      </c>
      <c r="J27" s="475"/>
      <c r="K27" s="487"/>
      <c r="L27" s="478">
        <f t="shared" si="1"/>
        <v>0</v>
      </c>
      <c r="M27" s="487"/>
      <c r="N27" s="478">
        <f t="shared" si="2"/>
        <v>0</v>
      </c>
      <c r="O27" s="478">
        <f t="shared" si="3"/>
        <v>0</v>
      </c>
      <c r="P27" s="243"/>
    </row>
    <row r="28" spans="2:16">
      <c r="B28" s="160" t="str">
        <f t="shared" si="5"/>
        <v/>
      </c>
      <c r="C28" s="472">
        <f>IF(D11="","-",+C27+1)</f>
        <v>2028</v>
      </c>
      <c r="D28" s="483">
        <f>IF(F27+SUM(E$17:E27)=D$10,F27,D$10-SUM(E$17:E27))</f>
        <v>254638.94098576394</v>
      </c>
      <c r="E28" s="484">
        <f t="shared" si="8"/>
        <v>7694.6976744186049</v>
      </c>
      <c r="F28" s="485">
        <f t="shared" si="9"/>
        <v>246944.24331134534</v>
      </c>
      <c r="G28" s="486">
        <f t="shared" si="10"/>
        <v>36549.859180254076</v>
      </c>
      <c r="H28" s="455">
        <f t="shared" si="11"/>
        <v>36549.859180254076</v>
      </c>
      <c r="I28" s="475">
        <f t="shared" si="0"/>
        <v>0</v>
      </c>
      <c r="J28" s="475"/>
      <c r="K28" s="487"/>
      <c r="L28" s="478">
        <f t="shared" si="1"/>
        <v>0</v>
      </c>
      <c r="M28" s="487"/>
      <c r="N28" s="478">
        <f t="shared" si="2"/>
        <v>0</v>
      </c>
      <c r="O28" s="478">
        <f t="shared" si="3"/>
        <v>0</v>
      </c>
      <c r="P28" s="243"/>
    </row>
    <row r="29" spans="2:16">
      <c r="B29" s="160" t="str">
        <f t="shared" si="5"/>
        <v/>
      </c>
      <c r="C29" s="472">
        <f>IF(D11="","-",+C28+1)</f>
        <v>2029</v>
      </c>
      <c r="D29" s="483">
        <f>IF(F28+SUM(E$17:E28)=D$10,F28,D$10-SUM(E$17:E28))</f>
        <v>246944.24331134534</v>
      </c>
      <c r="E29" s="484">
        <f t="shared" si="8"/>
        <v>7694.6976744186049</v>
      </c>
      <c r="F29" s="485">
        <f t="shared" si="9"/>
        <v>239249.54563692675</v>
      </c>
      <c r="G29" s="486">
        <f t="shared" si="10"/>
        <v>35664.53546492631</v>
      </c>
      <c r="H29" s="455">
        <f t="shared" si="11"/>
        <v>35664.53546492631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3"/>
    </row>
    <row r="30" spans="2:16">
      <c r="B30" s="160" t="str">
        <f t="shared" si="5"/>
        <v/>
      </c>
      <c r="C30" s="472">
        <f>IF(D11="","-",+C29+1)</f>
        <v>2030</v>
      </c>
      <c r="D30" s="483">
        <f>IF(F29+SUM(E$17:E29)=D$10,F29,D$10-SUM(E$17:E29))</f>
        <v>239249.54563692675</v>
      </c>
      <c r="E30" s="484">
        <f t="shared" si="8"/>
        <v>7694.6976744186049</v>
      </c>
      <c r="F30" s="485">
        <f t="shared" si="9"/>
        <v>231554.84796250815</v>
      </c>
      <c r="G30" s="486">
        <f t="shared" si="10"/>
        <v>34779.211749598537</v>
      </c>
      <c r="H30" s="455">
        <f t="shared" si="11"/>
        <v>34779.211749598537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5"/>
        <v/>
      </c>
      <c r="C31" s="472">
        <f>IF(D11="","-",+C30+1)</f>
        <v>2031</v>
      </c>
      <c r="D31" s="483">
        <f>IF(F30+SUM(E$17:E30)=D$10,F30,D$10-SUM(E$17:E30))</f>
        <v>231554.84796250815</v>
      </c>
      <c r="E31" s="484">
        <f t="shared" si="8"/>
        <v>7694.6976744186049</v>
      </c>
      <c r="F31" s="485">
        <f t="shared" si="9"/>
        <v>223860.15028808956</v>
      </c>
      <c r="G31" s="486">
        <f t="shared" si="10"/>
        <v>33893.888034270771</v>
      </c>
      <c r="H31" s="455">
        <f t="shared" si="11"/>
        <v>33893.888034270771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5"/>
        <v/>
      </c>
      <c r="C32" s="472">
        <f>IF(D11="","-",+C31+1)</f>
        <v>2032</v>
      </c>
      <c r="D32" s="483">
        <f>IF(F31+SUM(E$17:E31)=D$10,F31,D$10-SUM(E$17:E31))</f>
        <v>223860.15028808956</v>
      </c>
      <c r="E32" s="484">
        <f t="shared" si="8"/>
        <v>7694.6976744186049</v>
      </c>
      <c r="F32" s="485">
        <f t="shared" si="9"/>
        <v>216165.45261367096</v>
      </c>
      <c r="G32" s="486">
        <f t="shared" si="10"/>
        <v>33008.564318942997</v>
      </c>
      <c r="H32" s="455">
        <f t="shared" si="11"/>
        <v>33008.564318942997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5"/>
        <v/>
      </c>
      <c r="C33" s="472">
        <f>IF(D11="","-",+C32+1)</f>
        <v>2033</v>
      </c>
      <c r="D33" s="483">
        <f>IF(F32+SUM(E$17:E32)=D$10,F32,D$10-SUM(E$17:E32))</f>
        <v>216165.45261367096</v>
      </c>
      <c r="E33" s="484">
        <f t="shared" si="8"/>
        <v>7694.6976744186049</v>
      </c>
      <c r="F33" s="485">
        <f t="shared" si="9"/>
        <v>208470.75493925237</v>
      </c>
      <c r="G33" s="486">
        <f t="shared" si="10"/>
        <v>32123.240603615232</v>
      </c>
      <c r="H33" s="455">
        <f t="shared" si="11"/>
        <v>32123.240603615232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5"/>
        <v/>
      </c>
      <c r="C34" s="472">
        <f>IF(D11="","-",+C33+1)</f>
        <v>2034</v>
      </c>
      <c r="D34" s="483">
        <f>IF(F33+SUM(E$17:E33)=D$10,F33,D$10-SUM(E$17:E33))</f>
        <v>208470.75493925237</v>
      </c>
      <c r="E34" s="484">
        <f t="shared" si="8"/>
        <v>7694.6976744186049</v>
      </c>
      <c r="F34" s="485">
        <f t="shared" si="9"/>
        <v>200776.05726483377</v>
      </c>
      <c r="G34" s="486">
        <f t="shared" si="10"/>
        <v>31237.916888287458</v>
      </c>
      <c r="H34" s="455">
        <f t="shared" si="11"/>
        <v>31237.916888287458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5"/>
        <v/>
      </c>
      <c r="C35" s="472">
        <f>IF(D11="","-",+C34+1)</f>
        <v>2035</v>
      </c>
      <c r="D35" s="483">
        <f>IF(F34+SUM(E$17:E34)=D$10,F34,D$10-SUM(E$17:E34))</f>
        <v>200776.05726483377</v>
      </c>
      <c r="E35" s="484">
        <f t="shared" si="8"/>
        <v>7694.6976744186049</v>
      </c>
      <c r="F35" s="485">
        <f t="shared" si="9"/>
        <v>193081.35959041517</v>
      </c>
      <c r="G35" s="486">
        <f t="shared" si="10"/>
        <v>30352.593172959692</v>
      </c>
      <c r="H35" s="455">
        <f t="shared" si="11"/>
        <v>30352.593172959692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5"/>
        <v/>
      </c>
      <c r="C36" s="472">
        <f>IF(D11="","-",+C35+1)</f>
        <v>2036</v>
      </c>
      <c r="D36" s="483">
        <f>IF(F35+SUM(E$17:E35)=D$10,F35,D$10-SUM(E$17:E35))</f>
        <v>193081.35959041517</v>
      </c>
      <c r="E36" s="484">
        <f t="shared" si="8"/>
        <v>7694.6976744186049</v>
      </c>
      <c r="F36" s="485">
        <f t="shared" si="9"/>
        <v>185386.66191599658</v>
      </c>
      <c r="G36" s="486">
        <f t="shared" si="10"/>
        <v>29467.269457631919</v>
      </c>
      <c r="H36" s="455">
        <f t="shared" si="11"/>
        <v>29467.269457631919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5"/>
        <v/>
      </c>
      <c r="C37" s="472">
        <f>IF(D11="","-",+C36+1)</f>
        <v>2037</v>
      </c>
      <c r="D37" s="483">
        <f>IF(F36+SUM(E$17:E36)=D$10,F36,D$10-SUM(E$17:E36))</f>
        <v>185386.66191599658</v>
      </c>
      <c r="E37" s="484">
        <f t="shared" si="8"/>
        <v>7694.6976744186049</v>
      </c>
      <c r="F37" s="485">
        <f t="shared" si="9"/>
        <v>177691.96424157798</v>
      </c>
      <c r="G37" s="486">
        <f t="shared" si="10"/>
        <v>28581.945742304153</v>
      </c>
      <c r="H37" s="455">
        <f t="shared" si="11"/>
        <v>28581.945742304153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5"/>
        <v/>
      </c>
      <c r="C38" s="472">
        <f>IF(D11="","-",+C37+1)</f>
        <v>2038</v>
      </c>
      <c r="D38" s="483">
        <f>IF(F37+SUM(E$17:E37)=D$10,F37,D$10-SUM(E$17:E37))</f>
        <v>177691.96424157798</v>
      </c>
      <c r="E38" s="484">
        <f t="shared" si="8"/>
        <v>7694.6976744186049</v>
      </c>
      <c r="F38" s="485">
        <f t="shared" si="9"/>
        <v>169997.26656715939</v>
      </c>
      <c r="G38" s="486">
        <f t="shared" si="10"/>
        <v>27696.62202697638</v>
      </c>
      <c r="H38" s="455">
        <f t="shared" si="11"/>
        <v>27696.62202697638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5"/>
        <v/>
      </c>
      <c r="C39" s="472">
        <f>IF(D11="","-",+C38+1)</f>
        <v>2039</v>
      </c>
      <c r="D39" s="483">
        <f>IF(F38+SUM(E$17:E38)=D$10,F38,D$10-SUM(E$17:E38))</f>
        <v>169997.26656715939</v>
      </c>
      <c r="E39" s="484">
        <f t="shared" si="8"/>
        <v>7694.6976744186049</v>
      </c>
      <c r="F39" s="485">
        <f t="shared" si="9"/>
        <v>162302.56889274079</v>
      </c>
      <c r="G39" s="486">
        <f t="shared" si="10"/>
        <v>26811.298311648607</v>
      </c>
      <c r="H39" s="455">
        <f t="shared" si="11"/>
        <v>26811.298311648607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5"/>
        <v/>
      </c>
      <c r="C40" s="472">
        <f>IF(D11="","-",+C39+1)</f>
        <v>2040</v>
      </c>
      <c r="D40" s="483">
        <f>IF(F39+SUM(E$17:E39)=D$10,F39,D$10-SUM(E$17:E39))</f>
        <v>162302.56889274079</v>
      </c>
      <c r="E40" s="484">
        <f t="shared" si="8"/>
        <v>7694.6976744186049</v>
      </c>
      <c r="F40" s="485">
        <f t="shared" si="9"/>
        <v>154607.87121832219</v>
      </c>
      <c r="G40" s="486">
        <f t="shared" si="10"/>
        <v>25925.974596320833</v>
      </c>
      <c r="H40" s="455">
        <f t="shared" si="11"/>
        <v>25925.974596320833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5"/>
        <v/>
      </c>
      <c r="C41" s="472">
        <f>IF(D11="","-",+C40+1)</f>
        <v>2041</v>
      </c>
      <c r="D41" s="483">
        <f>IF(F40+SUM(E$17:E40)=D$10,F40,D$10-SUM(E$17:E40))</f>
        <v>154607.87121832219</v>
      </c>
      <c r="E41" s="484">
        <f t="shared" si="8"/>
        <v>7694.6976744186049</v>
      </c>
      <c r="F41" s="485">
        <f t="shared" si="9"/>
        <v>146913.1735439036</v>
      </c>
      <c r="G41" s="486">
        <f t="shared" si="10"/>
        <v>25040.650880993067</v>
      </c>
      <c r="H41" s="455">
        <f t="shared" si="11"/>
        <v>25040.650880993067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5"/>
        <v/>
      </c>
      <c r="C42" s="472">
        <f>IF(D11="","-",+C41+1)</f>
        <v>2042</v>
      </c>
      <c r="D42" s="483">
        <f>IF(F41+SUM(E$17:E41)=D$10,F41,D$10-SUM(E$17:E41))</f>
        <v>146913.1735439036</v>
      </c>
      <c r="E42" s="484">
        <f t="shared" si="8"/>
        <v>7694.6976744186049</v>
      </c>
      <c r="F42" s="485">
        <f t="shared" si="9"/>
        <v>139218.475869485</v>
      </c>
      <c r="G42" s="486">
        <f t="shared" si="10"/>
        <v>24155.327165665294</v>
      </c>
      <c r="H42" s="455">
        <f t="shared" si="11"/>
        <v>24155.327165665294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5"/>
        <v/>
      </c>
      <c r="C43" s="472">
        <f>IF(D11="","-",+C42+1)</f>
        <v>2043</v>
      </c>
      <c r="D43" s="483">
        <f>IF(F42+SUM(E$17:E42)=D$10,F42,D$10-SUM(E$17:E42))</f>
        <v>139218.475869485</v>
      </c>
      <c r="E43" s="484">
        <f t="shared" si="8"/>
        <v>7694.6976744186049</v>
      </c>
      <c r="F43" s="485">
        <f t="shared" si="9"/>
        <v>131523.77819506641</v>
      </c>
      <c r="G43" s="486">
        <f t="shared" si="10"/>
        <v>23270.003450337528</v>
      </c>
      <c r="H43" s="455">
        <f t="shared" si="11"/>
        <v>23270.003450337528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5"/>
        <v/>
      </c>
      <c r="C44" s="472">
        <f>IF(D11="","-",+C43+1)</f>
        <v>2044</v>
      </c>
      <c r="D44" s="483">
        <f>IF(F43+SUM(E$17:E43)=D$10,F43,D$10-SUM(E$17:E43))</f>
        <v>131523.77819506641</v>
      </c>
      <c r="E44" s="484">
        <f t="shared" si="8"/>
        <v>7694.6976744186049</v>
      </c>
      <c r="F44" s="485">
        <f t="shared" si="9"/>
        <v>123829.0805206478</v>
      </c>
      <c r="G44" s="486">
        <f t="shared" si="10"/>
        <v>22384.679735009755</v>
      </c>
      <c r="H44" s="455">
        <f t="shared" si="11"/>
        <v>22384.679735009755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5"/>
        <v/>
      </c>
      <c r="C45" s="472">
        <f>IF(D11="","-",+C44+1)</f>
        <v>2045</v>
      </c>
      <c r="D45" s="483">
        <f>IF(F44+SUM(E$17:E44)=D$10,F44,D$10-SUM(E$17:E44))</f>
        <v>123829.0805206478</v>
      </c>
      <c r="E45" s="484">
        <f t="shared" si="8"/>
        <v>7694.6976744186049</v>
      </c>
      <c r="F45" s="485">
        <f t="shared" si="9"/>
        <v>116134.38284622919</v>
      </c>
      <c r="G45" s="486">
        <f t="shared" si="10"/>
        <v>21499.356019681985</v>
      </c>
      <c r="H45" s="455">
        <f t="shared" si="11"/>
        <v>21499.356019681985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5"/>
        <v/>
      </c>
      <c r="C46" s="472">
        <f>IF(D11="","-",+C45+1)</f>
        <v>2046</v>
      </c>
      <c r="D46" s="483">
        <f>IF(F45+SUM(E$17:E45)=D$10,F45,D$10-SUM(E$17:E45))</f>
        <v>116134.38284622919</v>
      </c>
      <c r="E46" s="484">
        <f t="shared" si="8"/>
        <v>7694.6976744186049</v>
      </c>
      <c r="F46" s="485">
        <f t="shared" si="9"/>
        <v>108439.68517181058</v>
      </c>
      <c r="G46" s="486">
        <f t="shared" si="10"/>
        <v>20614.032304354212</v>
      </c>
      <c r="H46" s="455">
        <f t="shared" si="11"/>
        <v>20614.032304354212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5"/>
        <v/>
      </c>
      <c r="C47" s="472">
        <f>IF(D11="","-",+C46+1)</f>
        <v>2047</v>
      </c>
      <c r="D47" s="483">
        <f>IF(F46+SUM(E$17:E46)=D$10,F46,D$10-SUM(E$17:E46))</f>
        <v>108439.68517181058</v>
      </c>
      <c r="E47" s="484">
        <f t="shared" si="8"/>
        <v>7694.6976744186049</v>
      </c>
      <c r="F47" s="485">
        <f t="shared" si="9"/>
        <v>100744.98749739197</v>
      </c>
      <c r="G47" s="486">
        <f t="shared" si="10"/>
        <v>19728.708589026442</v>
      </c>
      <c r="H47" s="455">
        <f t="shared" si="11"/>
        <v>19728.708589026442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5"/>
        <v/>
      </c>
      <c r="C48" s="472">
        <f>IF(D11="","-",+C47+1)</f>
        <v>2048</v>
      </c>
      <c r="D48" s="483">
        <f>IF(F47+SUM(E$17:E47)=D$10,F47,D$10-SUM(E$17:E47))</f>
        <v>100744.98749739197</v>
      </c>
      <c r="E48" s="484">
        <f t="shared" si="8"/>
        <v>7694.6976744186049</v>
      </c>
      <c r="F48" s="485">
        <f t="shared" si="9"/>
        <v>93050.289822973355</v>
      </c>
      <c r="G48" s="486">
        <f t="shared" si="10"/>
        <v>18843.384873698669</v>
      </c>
      <c r="H48" s="455">
        <f t="shared" si="11"/>
        <v>18843.384873698669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5"/>
        <v/>
      </c>
      <c r="C49" s="472">
        <f>IF(D11="","-",+C48+1)</f>
        <v>2049</v>
      </c>
      <c r="D49" s="483">
        <f>IF(F48+SUM(E$17:E48)=D$10,F48,D$10-SUM(E$17:E48))</f>
        <v>93050.289822973355</v>
      </c>
      <c r="E49" s="484">
        <f t="shared" si="8"/>
        <v>7694.6976744186049</v>
      </c>
      <c r="F49" s="485">
        <f t="shared" si="9"/>
        <v>85355.592148554744</v>
      </c>
      <c r="G49" s="486">
        <f t="shared" si="10"/>
        <v>17958.0611583709</v>
      </c>
      <c r="H49" s="455">
        <f t="shared" si="11"/>
        <v>17958.0611583709</v>
      </c>
      <c r="I49" s="475">
        <f t="shared" si="0"/>
        <v>0</v>
      </c>
      <c r="J49" s="475"/>
      <c r="K49" s="487"/>
      <c r="L49" s="478">
        <f t="shared" si="1"/>
        <v>0</v>
      </c>
      <c r="M49" s="487"/>
      <c r="N49" s="478">
        <f t="shared" si="2"/>
        <v>0</v>
      </c>
      <c r="O49" s="478">
        <f t="shared" si="3"/>
        <v>0</v>
      </c>
      <c r="P49" s="243"/>
    </row>
    <row r="50" spans="2:16">
      <c r="B50" s="160" t="str">
        <f t="shared" si="5"/>
        <v/>
      </c>
      <c r="C50" s="472">
        <f>IF(D11="","-",+C49+1)</f>
        <v>2050</v>
      </c>
      <c r="D50" s="483">
        <f>IF(F49+SUM(E$17:E49)=D$10,F49,D$10-SUM(E$17:E49))</f>
        <v>85355.592148554744</v>
      </c>
      <c r="E50" s="484">
        <f t="shared" si="8"/>
        <v>7694.6976744186049</v>
      </c>
      <c r="F50" s="485">
        <f t="shared" si="9"/>
        <v>77660.894474136134</v>
      </c>
      <c r="G50" s="486">
        <f t="shared" si="10"/>
        <v>17072.737443043126</v>
      </c>
      <c r="H50" s="455">
        <f t="shared" si="11"/>
        <v>17072.737443043126</v>
      </c>
      <c r="I50" s="475">
        <f t="shared" si="0"/>
        <v>0</v>
      </c>
      <c r="J50" s="475"/>
      <c r="K50" s="487"/>
      <c r="L50" s="478">
        <f t="shared" si="1"/>
        <v>0</v>
      </c>
      <c r="M50" s="487"/>
      <c r="N50" s="478">
        <f t="shared" si="2"/>
        <v>0</v>
      </c>
      <c r="O50" s="478">
        <f t="shared" si="3"/>
        <v>0</v>
      </c>
      <c r="P50" s="243"/>
    </row>
    <row r="51" spans="2:16">
      <c r="B51" s="160" t="str">
        <f t="shared" si="5"/>
        <v/>
      </c>
      <c r="C51" s="472">
        <f>IF(D11="","-",+C50+1)</f>
        <v>2051</v>
      </c>
      <c r="D51" s="483">
        <f>IF(F50+SUM(E$17:E50)=D$10,F50,D$10-SUM(E$17:E50))</f>
        <v>77660.894474136134</v>
      </c>
      <c r="E51" s="484">
        <f t="shared" si="8"/>
        <v>7694.6976744186049</v>
      </c>
      <c r="F51" s="485">
        <f t="shared" si="9"/>
        <v>69966.196799717523</v>
      </c>
      <c r="G51" s="486">
        <f t="shared" si="10"/>
        <v>16187.413727715355</v>
      </c>
      <c r="H51" s="455">
        <f t="shared" si="11"/>
        <v>16187.413727715355</v>
      </c>
      <c r="I51" s="475">
        <f t="shared" si="0"/>
        <v>0</v>
      </c>
      <c r="J51" s="475"/>
      <c r="K51" s="487"/>
      <c r="L51" s="478">
        <f t="shared" si="1"/>
        <v>0</v>
      </c>
      <c r="M51" s="487"/>
      <c r="N51" s="478">
        <f t="shared" si="2"/>
        <v>0</v>
      </c>
      <c r="O51" s="478">
        <f t="shared" si="3"/>
        <v>0</v>
      </c>
      <c r="P51" s="243"/>
    </row>
    <row r="52" spans="2:16">
      <c r="B52" s="160" t="str">
        <f t="shared" si="5"/>
        <v/>
      </c>
      <c r="C52" s="472">
        <f>IF(D11="","-",+C51+1)</f>
        <v>2052</v>
      </c>
      <c r="D52" s="483">
        <f>IF(F51+SUM(E$17:E51)=D$10,F51,D$10-SUM(E$17:E51))</f>
        <v>69966.196799717523</v>
      </c>
      <c r="E52" s="484">
        <f t="shared" si="8"/>
        <v>7694.6976744186049</v>
      </c>
      <c r="F52" s="485">
        <f t="shared" si="9"/>
        <v>62271.49912529892</v>
      </c>
      <c r="G52" s="486">
        <f t="shared" si="10"/>
        <v>15302.090012387584</v>
      </c>
      <c r="H52" s="455">
        <f t="shared" si="11"/>
        <v>15302.090012387584</v>
      </c>
      <c r="I52" s="475">
        <f t="shared" si="0"/>
        <v>0</v>
      </c>
      <c r="J52" s="475"/>
      <c r="K52" s="487"/>
      <c r="L52" s="478">
        <f t="shared" si="1"/>
        <v>0</v>
      </c>
      <c r="M52" s="487"/>
      <c r="N52" s="478">
        <f t="shared" si="2"/>
        <v>0</v>
      </c>
      <c r="O52" s="478">
        <f t="shared" si="3"/>
        <v>0</v>
      </c>
      <c r="P52" s="243"/>
    </row>
    <row r="53" spans="2:16">
      <c r="B53" s="160" t="str">
        <f t="shared" si="5"/>
        <v/>
      </c>
      <c r="C53" s="472">
        <f>IF(D11="","-",+C52+1)</f>
        <v>2053</v>
      </c>
      <c r="D53" s="483">
        <f>IF(F52+SUM(E$17:E52)=D$10,F52,D$10-SUM(E$17:E52))</f>
        <v>62271.49912529892</v>
      </c>
      <c r="E53" s="484">
        <f t="shared" si="8"/>
        <v>7694.6976744186049</v>
      </c>
      <c r="F53" s="485">
        <f t="shared" si="9"/>
        <v>54576.801450880317</v>
      </c>
      <c r="G53" s="486">
        <f t="shared" si="10"/>
        <v>14416.766297059812</v>
      </c>
      <c r="H53" s="455">
        <f t="shared" si="11"/>
        <v>14416.766297059812</v>
      </c>
      <c r="I53" s="475">
        <f t="shared" si="0"/>
        <v>0</v>
      </c>
      <c r="J53" s="475"/>
      <c r="K53" s="487"/>
      <c r="L53" s="478">
        <f t="shared" si="1"/>
        <v>0</v>
      </c>
      <c r="M53" s="487"/>
      <c r="N53" s="478">
        <f t="shared" si="2"/>
        <v>0</v>
      </c>
      <c r="O53" s="478">
        <f t="shared" si="3"/>
        <v>0</v>
      </c>
      <c r="P53" s="243"/>
    </row>
    <row r="54" spans="2:16">
      <c r="B54" s="160" t="str">
        <f t="shared" si="5"/>
        <v/>
      </c>
      <c r="C54" s="472">
        <f>IF(D11="","-",+C53+1)</f>
        <v>2054</v>
      </c>
      <c r="D54" s="483">
        <f>IF(F53+SUM(E$17:E53)=D$10,F53,D$10-SUM(E$17:E53))</f>
        <v>54576.801450880317</v>
      </c>
      <c r="E54" s="484">
        <f t="shared" si="8"/>
        <v>7694.6976744186049</v>
      </c>
      <c r="F54" s="485">
        <f t="shared" si="9"/>
        <v>46882.103776461714</v>
      </c>
      <c r="G54" s="486">
        <f t="shared" si="10"/>
        <v>13531.442581732041</v>
      </c>
      <c r="H54" s="455">
        <f t="shared" si="11"/>
        <v>13531.442581732041</v>
      </c>
      <c r="I54" s="475">
        <f t="shared" si="0"/>
        <v>0</v>
      </c>
      <c r="J54" s="475"/>
      <c r="K54" s="487"/>
      <c r="L54" s="478">
        <f t="shared" si="1"/>
        <v>0</v>
      </c>
      <c r="M54" s="487"/>
      <c r="N54" s="478">
        <f t="shared" si="2"/>
        <v>0</v>
      </c>
      <c r="O54" s="478">
        <f t="shared" si="3"/>
        <v>0</v>
      </c>
      <c r="P54" s="243"/>
    </row>
    <row r="55" spans="2:16">
      <c r="B55" s="160" t="str">
        <f t="shared" si="5"/>
        <v/>
      </c>
      <c r="C55" s="472">
        <f>IF(D11="","-",+C54+1)</f>
        <v>2055</v>
      </c>
      <c r="D55" s="483">
        <f>IF(F54+SUM(E$17:E54)=D$10,F54,D$10-SUM(E$17:E54))</f>
        <v>46882.103776461714</v>
      </c>
      <c r="E55" s="484">
        <f t="shared" si="8"/>
        <v>7694.6976744186049</v>
      </c>
      <c r="F55" s="485">
        <f t="shared" si="9"/>
        <v>39187.406102043111</v>
      </c>
      <c r="G55" s="486">
        <f t="shared" si="10"/>
        <v>12646.118866404271</v>
      </c>
      <c r="H55" s="455">
        <f t="shared" si="11"/>
        <v>12646.118866404271</v>
      </c>
      <c r="I55" s="475">
        <f t="shared" si="0"/>
        <v>0</v>
      </c>
      <c r="J55" s="475"/>
      <c r="K55" s="487"/>
      <c r="L55" s="478">
        <f t="shared" si="1"/>
        <v>0</v>
      </c>
      <c r="M55" s="487"/>
      <c r="N55" s="478">
        <f t="shared" si="2"/>
        <v>0</v>
      </c>
      <c r="O55" s="478">
        <f t="shared" si="3"/>
        <v>0</v>
      </c>
      <c r="P55" s="243"/>
    </row>
    <row r="56" spans="2:16">
      <c r="B56" s="160" t="str">
        <f t="shared" si="5"/>
        <v/>
      </c>
      <c r="C56" s="472">
        <f>IF(D11="","-",+C55+1)</f>
        <v>2056</v>
      </c>
      <c r="D56" s="483">
        <f>IF(F55+SUM(E$17:E55)=D$10,F55,D$10-SUM(E$17:E55))</f>
        <v>39187.406102043111</v>
      </c>
      <c r="E56" s="484">
        <f t="shared" si="8"/>
        <v>7694.6976744186049</v>
      </c>
      <c r="F56" s="485">
        <f t="shared" si="9"/>
        <v>31492.708427624508</v>
      </c>
      <c r="G56" s="486">
        <f t="shared" si="10"/>
        <v>11760.7951510765</v>
      </c>
      <c r="H56" s="455">
        <f t="shared" si="11"/>
        <v>11760.7951510765</v>
      </c>
      <c r="I56" s="475">
        <f t="shared" si="0"/>
        <v>0</v>
      </c>
      <c r="J56" s="475"/>
      <c r="K56" s="487"/>
      <c r="L56" s="478">
        <f t="shared" si="1"/>
        <v>0</v>
      </c>
      <c r="M56" s="487"/>
      <c r="N56" s="478">
        <f t="shared" si="2"/>
        <v>0</v>
      </c>
      <c r="O56" s="478">
        <f t="shared" si="3"/>
        <v>0</v>
      </c>
      <c r="P56" s="243"/>
    </row>
    <row r="57" spans="2:16">
      <c r="B57" s="160" t="str">
        <f t="shared" si="5"/>
        <v/>
      </c>
      <c r="C57" s="472">
        <f>IF(D11="","-",+C56+1)</f>
        <v>2057</v>
      </c>
      <c r="D57" s="483">
        <f>IF(F56+SUM(E$17:E56)=D$10,F56,D$10-SUM(E$17:E56))</f>
        <v>31492.708427624508</v>
      </c>
      <c r="E57" s="484">
        <f t="shared" si="8"/>
        <v>7694.6976744186049</v>
      </c>
      <c r="F57" s="485">
        <f t="shared" si="9"/>
        <v>23798.010753205905</v>
      </c>
      <c r="G57" s="486">
        <f t="shared" si="10"/>
        <v>10875.471435748728</v>
      </c>
      <c r="H57" s="455">
        <f t="shared" si="11"/>
        <v>10875.471435748728</v>
      </c>
      <c r="I57" s="475">
        <f t="shared" si="0"/>
        <v>0</v>
      </c>
      <c r="J57" s="475"/>
      <c r="K57" s="487"/>
      <c r="L57" s="478">
        <f t="shared" si="1"/>
        <v>0</v>
      </c>
      <c r="M57" s="487"/>
      <c r="N57" s="478">
        <f t="shared" si="2"/>
        <v>0</v>
      </c>
      <c r="O57" s="478">
        <f t="shared" si="3"/>
        <v>0</v>
      </c>
      <c r="P57" s="243"/>
    </row>
    <row r="58" spans="2:16">
      <c r="B58" s="160" t="str">
        <f t="shared" si="5"/>
        <v/>
      </c>
      <c r="C58" s="472">
        <f>IF(D11="","-",+C57+1)</f>
        <v>2058</v>
      </c>
      <c r="D58" s="483">
        <f>IF(F57+SUM(E$17:E57)=D$10,F57,D$10-SUM(E$17:E57))</f>
        <v>23798.010753205905</v>
      </c>
      <c r="E58" s="484">
        <f t="shared" si="8"/>
        <v>7694.6976744186049</v>
      </c>
      <c r="F58" s="485">
        <f t="shared" si="9"/>
        <v>16103.3130787873</v>
      </c>
      <c r="G58" s="486">
        <f t="shared" si="10"/>
        <v>9990.1477204209586</v>
      </c>
      <c r="H58" s="455">
        <f t="shared" si="11"/>
        <v>9990.1477204209586</v>
      </c>
      <c r="I58" s="475">
        <f t="shared" si="0"/>
        <v>0</v>
      </c>
      <c r="J58" s="475"/>
      <c r="K58" s="487"/>
      <c r="L58" s="478">
        <f t="shared" si="1"/>
        <v>0</v>
      </c>
      <c r="M58" s="487"/>
      <c r="N58" s="478">
        <f t="shared" si="2"/>
        <v>0</v>
      </c>
      <c r="O58" s="478">
        <f t="shared" si="3"/>
        <v>0</v>
      </c>
      <c r="P58" s="243"/>
    </row>
    <row r="59" spans="2:16">
      <c r="B59" s="160" t="str">
        <f t="shared" si="5"/>
        <v/>
      </c>
      <c r="C59" s="472">
        <f>IF(D11="","-",+C58+1)</f>
        <v>2059</v>
      </c>
      <c r="D59" s="483">
        <f>IF(F58+SUM(E$17:E58)=D$10,F58,D$10-SUM(E$17:E58))</f>
        <v>16103.3130787873</v>
      </c>
      <c r="E59" s="484">
        <f t="shared" si="8"/>
        <v>7694.6976744186049</v>
      </c>
      <c r="F59" s="485">
        <f t="shared" si="9"/>
        <v>8408.6154043686947</v>
      </c>
      <c r="G59" s="486">
        <f t="shared" si="10"/>
        <v>9104.8240050931854</v>
      </c>
      <c r="H59" s="455">
        <f t="shared" si="11"/>
        <v>9104.8240050931854</v>
      </c>
      <c r="I59" s="475">
        <f t="shared" si="0"/>
        <v>0</v>
      </c>
      <c r="J59" s="475"/>
      <c r="K59" s="487"/>
      <c r="L59" s="478">
        <f t="shared" si="1"/>
        <v>0</v>
      </c>
      <c r="M59" s="487"/>
      <c r="N59" s="478">
        <f t="shared" si="2"/>
        <v>0</v>
      </c>
      <c r="O59" s="478">
        <f t="shared" si="3"/>
        <v>0</v>
      </c>
      <c r="P59" s="243"/>
    </row>
    <row r="60" spans="2:16">
      <c r="B60" s="160" t="str">
        <f t="shared" si="5"/>
        <v/>
      </c>
      <c r="C60" s="472">
        <f>IF(D11="","-",+C59+1)</f>
        <v>2060</v>
      </c>
      <c r="D60" s="483">
        <f>IF(F59+SUM(E$17:E59)=D$10,F59,D$10-SUM(E$17:E59))</f>
        <v>8408.6154043686947</v>
      </c>
      <c r="E60" s="484">
        <f t="shared" si="8"/>
        <v>7694.6976744186049</v>
      </c>
      <c r="F60" s="485">
        <f t="shared" si="9"/>
        <v>713.91772995008978</v>
      </c>
      <c r="G60" s="486">
        <f t="shared" si="10"/>
        <v>8219.5002897654158</v>
      </c>
      <c r="H60" s="455">
        <f t="shared" si="11"/>
        <v>8219.5002897654158</v>
      </c>
      <c r="I60" s="475">
        <f t="shared" si="0"/>
        <v>0</v>
      </c>
      <c r="J60" s="475"/>
      <c r="K60" s="487"/>
      <c r="L60" s="478">
        <f t="shared" si="1"/>
        <v>0</v>
      </c>
      <c r="M60" s="487"/>
      <c r="N60" s="478">
        <f t="shared" si="2"/>
        <v>0</v>
      </c>
      <c r="O60" s="478">
        <f t="shared" si="3"/>
        <v>0</v>
      </c>
      <c r="P60" s="243"/>
    </row>
    <row r="61" spans="2:16">
      <c r="B61" s="160" t="str">
        <f t="shared" si="5"/>
        <v/>
      </c>
      <c r="C61" s="472">
        <f>IF(D11="","-",+C60+1)</f>
        <v>2061</v>
      </c>
      <c r="D61" s="483">
        <f>IF(F60+SUM(E$17:E60)=D$10,F60,D$10-SUM(E$17:E60))</f>
        <v>713.91772995008978</v>
      </c>
      <c r="E61" s="484">
        <f t="shared" si="8"/>
        <v>713.91772995008978</v>
      </c>
      <c r="F61" s="485">
        <f t="shared" si="9"/>
        <v>0</v>
      </c>
      <c r="G61" s="486">
        <f t="shared" si="10"/>
        <v>754.98810879155212</v>
      </c>
      <c r="H61" s="455">
        <f t="shared" si="11"/>
        <v>754.98810879155212</v>
      </c>
      <c r="I61" s="475">
        <f t="shared" si="0"/>
        <v>0</v>
      </c>
      <c r="J61" s="475"/>
      <c r="K61" s="487"/>
      <c r="L61" s="478">
        <f t="shared" si="1"/>
        <v>0</v>
      </c>
      <c r="M61" s="487"/>
      <c r="N61" s="478">
        <f t="shared" si="2"/>
        <v>0</v>
      </c>
      <c r="O61" s="478">
        <f t="shared" si="3"/>
        <v>0</v>
      </c>
      <c r="P61" s="243"/>
    </row>
    <row r="62" spans="2:16">
      <c r="B62" s="160" t="str">
        <f t="shared" si="5"/>
        <v/>
      </c>
      <c r="C62" s="472">
        <f>IF(D11="","-",+C61+1)</f>
        <v>2062</v>
      </c>
      <c r="D62" s="483">
        <f>IF(F61+SUM(E$17:E61)=D$10,F61,D$10-SUM(E$17:E61))</f>
        <v>0</v>
      </c>
      <c r="E62" s="484">
        <f t="shared" si="8"/>
        <v>0</v>
      </c>
      <c r="F62" s="485">
        <f t="shared" si="9"/>
        <v>0</v>
      </c>
      <c r="G62" s="486">
        <f t="shared" si="10"/>
        <v>0</v>
      </c>
      <c r="H62" s="455">
        <f t="shared" si="11"/>
        <v>0</v>
      </c>
      <c r="I62" s="475">
        <f t="shared" si="0"/>
        <v>0</v>
      </c>
      <c r="J62" s="475"/>
      <c r="K62" s="487"/>
      <c r="L62" s="478">
        <f t="shared" si="1"/>
        <v>0</v>
      </c>
      <c r="M62" s="487"/>
      <c r="N62" s="478">
        <f t="shared" si="2"/>
        <v>0</v>
      </c>
      <c r="O62" s="478">
        <f t="shared" si="3"/>
        <v>0</v>
      </c>
      <c r="P62" s="243"/>
    </row>
    <row r="63" spans="2:16">
      <c r="B63" s="160" t="str">
        <f t="shared" si="5"/>
        <v/>
      </c>
      <c r="C63" s="472">
        <f>IF(D11="","-",+C62+1)</f>
        <v>2063</v>
      </c>
      <c r="D63" s="483">
        <f>IF(F62+SUM(E$17:E62)=D$10,F62,D$10-SUM(E$17:E62))</f>
        <v>0</v>
      </c>
      <c r="E63" s="484">
        <f t="shared" si="8"/>
        <v>0</v>
      </c>
      <c r="F63" s="485">
        <f t="shared" si="9"/>
        <v>0</v>
      </c>
      <c r="G63" s="486">
        <f t="shared" si="10"/>
        <v>0</v>
      </c>
      <c r="H63" s="455">
        <f t="shared" si="11"/>
        <v>0</v>
      </c>
      <c r="I63" s="475">
        <f t="shared" si="0"/>
        <v>0</v>
      </c>
      <c r="J63" s="475"/>
      <c r="K63" s="487"/>
      <c r="L63" s="478">
        <f t="shared" si="1"/>
        <v>0</v>
      </c>
      <c r="M63" s="487"/>
      <c r="N63" s="478">
        <f t="shared" si="2"/>
        <v>0</v>
      </c>
      <c r="O63" s="478">
        <f t="shared" si="3"/>
        <v>0</v>
      </c>
      <c r="P63" s="243"/>
    </row>
    <row r="64" spans="2:16">
      <c r="B64" s="160" t="str">
        <f t="shared" si="5"/>
        <v/>
      </c>
      <c r="C64" s="472">
        <f>IF(D11="","-",+C63+1)</f>
        <v>2064</v>
      </c>
      <c r="D64" s="483">
        <f>IF(F63+SUM(E$17:E63)=D$10,F63,D$10-SUM(E$17:E63))</f>
        <v>0</v>
      </c>
      <c r="E64" s="484">
        <f t="shared" si="8"/>
        <v>0</v>
      </c>
      <c r="F64" s="485">
        <f t="shared" si="9"/>
        <v>0</v>
      </c>
      <c r="G64" s="486">
        <f t="shared" si="10"/>
        <v>0</v>
      </c>
      <c r="H64" s="455">
        <f t="shared" si="11"/>
        <v>0</v>
      </c>
      <c r="I64" s="475">
        <f t="shared" si="0"/>
        <v>0</v>
      </c>
      <c r="J64" s="475"/>
      <c r="K64" s="487"/>
      <c r="L64" s="478">
        <f t="shared" si="1"/>
        <v>0</v>
      </c>
      <c r="M64" s="487"/>
      <c r="N64" s="478">
        <f t="shared" si="2"/>
        <v>0</v>
      </c>
      <c r="O64" s="478">
        <f t="shared" si="3"/>
        <v>0</v>
      </c>
      <c r="P64" s="243"/>
    </row>
    <row r="65" spans="2:16">
      <c r="B65" s="160" t="str">
        <f t="shared" si="5"/>
        <v/>
      </c>
      <c r="C65" s="472">
        <f>IF(D11="","-",+C64+1)</f>
        <v>2065</v>
      </c>
      <c r="D65" s="483">
        <f>IF(F64+SUM(E$17:E64)=D$10,F64,D$10-SUM(E$17:E64))</f>
        <v>0</v>
      </c>
      <c r="E65" s="484">
        <f t="shared" si="8"/>
        <v>0</v>
      </c>
      <c r="F65" s="485">
        <f t="shared" si="9"/>
        <v>0</v>
      </c>
      <c r="G65" s="486">
        <f t="shared" si="10"/>
        <v>0</v>
      </c>
      <c r="H65" s="455">
        <f t="shared" si="11"/>
        <v>0</v>
      </c>
      <c r="I65" s="475">
        <f t="shared" si="0"/>
        <v>0</v>
      </c>
      <c r="J65" s="475"/>
      <c r="K65" s="487"/>
      <c r="L65" s="478">
        <f t="shared" si="1"/>
        <v>0</v>
      </c>
      <c r="M65" s="487"/>
      <c r="N65" s="478">
        <f t="shared" si="2"/>
        <v>0</v>
      </c>
      <c r="O65" s="478">
        <f t="shared" si="3"/>
        <v>0</v>
      </c>
      <c r="P65" s="243"/>
    </row>
    <row r="66" spans="2:16">
      <c r="B66" s="160" t="str">
        <f t="shared" si="5"/>
        <v/>
      </c>
      <c r="C66" s="472">
        <f>IF(D11="","-",+C65+1)</f>
        <v>2066</v>
      </c>
      <c r="D66" s="483">
        <f>IF(F65+SUM(E$17:E65)=D$10,F65,D$10-SUM(E$17:E65))</f>
        <v>0</v>
      </c>
      <c r="E66" s="484">
        <f t="shared" si="8"/>
        <v>0</v>
      </c>
      <c r="F66" s="485">
        <f t="shared" si="9"/>
        <v>0</v>
      </c>
      <c r="G66" s="486">
        <f t="shared" si="10"/>
        <v>0</v>
      </c>
      <c r="H66" s="455">
        <f t="shared" si="11"/>
        <v>0</v>
      </c>
      <c r="I66" s="475">
        <f t="shared" si="0"/>
        <v>0</v>
      </c>
      <c r="J66" s="475"/>
      <c r="K66" s="487"/>
      <c r="L66" s="478">
        <f t="shared" si="1"/>
        <v>0</v>
      </c>
      <c r="M66" s="487"/>
      <c r="N66" s="478">
        <f t="shared" si="2"/>
        <v>0</v>
      </c>
      <c r="O66" s="478">
        <f t="shared" si="3"/>
        <v>0</v>
      </c>
      <c r="P66" s="243"/>
    </row>
    <row r="67" spans="2:16">
      <c r="B67" s="160" t="str">
        <f t="shared" si="5"/>
        <v/>
      </c>
      <c r="C67" s="472">
        <f>IF(D11="","-",+C66+1)</f>
        <v>2067</v>
      </c>
      <c r="D67" s="483">
        <f>IF(F66+SUM(E$17:E66)=D$10,F66,D$10-SUM(E$17:E66))</f>
        <v>0</v>
      </c>
      <c r="E67" s="484">
        <f t="shared" si="8"/>
        <v>0</v>
      </c>
      <c r="F67" s="485">
        <f t="shared" si="9"/>
        <v>0</v>
      </c>
      <c r="G67" s="486">
        <f t="shared" si="10"/>
        <v>0</v>
      </c>
      <c r="H67" s="455">
        <f t="shared" si="11"/>
        <v>0</v>
      </c>
      <c r="I67" s="475">
        <f t="shared" si="0"/>
        <v>0</v>
      </c>
      <c r="J67" s="475"/>
      <c r="K67" s="487"/>
      <c r="L67" s="478">
        <f t="shared" si="1"/>
        <v>0</v>
      </c>
      <c r="M67" s="487"/>
      <c r="N67" s="478">
        <f t="shared" si="2"/>
        <v>0</v>
      </c>
      <c r="O67" s="478">
        <f t="shared" si="3"/>
        <v>0</v>
      </c>
      <c r="P67" s="243"/>
    </row>
    <row r="68" spans="2:16">
      <c r="B68" s="160" t="str">
        <f t="shared" si="5"/>
        <v/>
      </c>
      <c r="C68" s="472">
        <f>IF(D11="","-",+C67+1)</f>
        <v>2068</v>
      </c>
      <c r="D68" s="483">
        <f>IF(F67+SUM(E$17:E67)=D$10,F67,D$10-SUM(E$17:E67))</f>
        <v>0</v>
      </c>
      <c r="E68" s="484">
        <f t="shared" si="8"/>
        <v>0</v>
      </c>
      <c r="F68" s="485">
        <f t="shared" si="9"/>
        <v>0</v>
      </c>
      <c r="G68" s="486">
        <f t="shared" si="10"/>
        <v>0</v>
      </c>
      <c r="H68" s="455">
        <f t="shared" si="11"/>
        <v>0</v>
      </c>
      <c r="I68" s="475">
        <f t="shared" si="0"/>
        <v>0</v>
      </c>
      <c r="J68" s="475"/>
      <c r="K68" s="487"/>
      <c r="L68" s="478">
        <f t="shared" si="1"/>
        <v>0</v>
      </c>
      <c r="M68" s="487"/>
      <c r="N68" s="478">
        <f t="shared" si="2"/>
        <v>0</v>
      </c>
      <c r="O68" s="478">
        <f t="shared" si="3"/>
        <v>0</v>
      </c>
      <c r="P68" s="243"/>
    </row>
    <row r="69" spans="2:16">
      <c r="B69" s="160" t="str">
        <f t="shared" si="5"/>
        <v/>
      </c>
      <c r="C69" s="472">
        <f>IF(D11="","-",+C68+1)</f>
        <v>2069</v>
      </c>
      <c r="D69" s="483">
        <f>IF(F68+SUM(E$17:E68)=D$10,F68,D$10-SUM(E$17:E68))</f>
        <v>0</v>
      </c>
      <c r="E69" s="484">
        <f t="shared" si="8"/>
        <v>0</v>
      </c>
      <c r="F69" s="485">
        <f t="shared" si="9"/>
        <v>0</v>
      </c>
      <c r="G69" s="486">
        <f t="shared" si="10"/>
        <v>0</v>
      </c>
      <c r="H69" s="455">
        <f t="shared" si="11"/>
        <v>0</v>
      </c>
      <c r="I69" s="475">
        <f t="shared" si="0"/>
        <v>0</v>
      </c>
      <c r="J69" s="475"/>
      <c r="K69" s="487"/>
      <c r="L69" s="478">
        <f t="shared" si="1"/>
        <v>0</v>
      </c>
      <c r="M69" s="487"/>
      <c r="N69" s="478">
        <f t="shared" si="2"/>
        <v>0</v>
      </c>
      <c r="O69" s="478">
        <f t="shared" si="3"/>
        <v>0</v>
      </c>
      <c r="P69" s="243"/>
    </row>
    <row r="70" spans="2:16">
      <c r="B70" s="160" t="str">
        <f t="shared" si="5"/>
        <v/>
      </c>
      <c r="C70" s="472">
        <f>IF(D11="","-",+C69+1)</f>
        <v>2070</v>
      </c>
      <c r="D70" s="483">
        <f>IF(F69+SUM(E$17:E69)=D$10,F69,D$10-SUM(E$17:E69))</f>
        <v>0</v>
      </c>
      <c r="E70" s="484">
        <f t="shared" si="8"/>
        <v>0</v>
      </c>
      <c r="F70" s="485">
        <f t="shared" si="9"/>
        <v>0</v>
      </c>
      <c r="G70" s="486">
        <f t="shared" si="10"/>
        <v>0</v>
      </c>
      <c r="H70" s="455">
        <f t="shared" si="11"/>
        <v>0</v>
      </c>
      <c r="I70" s="475">
        <f t="shared" si="0"/>
        <v>0</v>
      </c>
      <c r="J70" s="475"/>
      <c r="K70" s="487"/>
      <c r="L70" s="478">
        <f t="shared" si="1"/>
        <v>0</v>
      </c>
      <c r="M70" s="487"/>
      <c r="N70" s="478">
        <f t="shared" si="2"/>
        <v>0</v>
      </c>
      <c r="O70" s="478">
        <f t="shared" si="3"/>
        <v>0</v>
      </c>
      <c r="P70" s="243"/>
    </row>
    <row r="71" spans="2:16">
      <c r="B71" s="160" t="str">
        <f t="shared" si="5"/>
        <v/>
      </c>
      <c r="C71" s="472">
        <f>IF(D11="","-",+C70+1)</f>
        <v>2071</v>
      </c>
      <c r="D71" s="483">
        <f>IF(F70+SUM(E$17:E70)=D$10,F70,D$10-SUM(E$17:E70))</f>
        <v>0</v>
      </c>
      <c r="E71" s="484">
        <f t="shared" si="8"/>
        <v>0</v>
      </c>
      <c r="F71" s="485">
        <f t="shared" si="9"/>
        <v>0</v>
      </c>
      <c r="G71" s="486">
        <f t="shared" si="10"/>
        <v>0</v>
      </c>
      <c r="H71" s="455">
        <f t="shared" si="11"/>
        <v>0</v>
      </c>
      <c r="I71" s="475">
        <f t="shared" si="0"/>
        <v>0</v>
      </c>
      <c r="J71" s="475"/>
      <c r="K71" s="487"/>
      <c r="L71" s="478">
        <f t="shared" si="1"/>
        <v>0</v>
      </c>
      <c r="M71" s="487"/>
      <c r="N71" s="478">
        <f t="shared" si="2"/>
        <v>0</v>
      </c>
      <c r="O71" s="478">
        <f t="shared" si="3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2072</v>
      </c>
      <c r="D72" s="612">
        <f>IF(F71+SUM(E$17:E71)=D$10,F71,D$10-SUM(E$17:E71))</f>
        <v>0</v>
      </c>
      <c r="E72" s="491">
        <f t="shared" si="8"/>
        <v>0</v>
      </c>
      <c r="F72" s="490">
        <f t="shared" si="9"/>
        <v>0</v>
      </c>
      <c r="G72" s="544">
        <f t="shared" si="10"/>
        <v>0</v>
      </c>
      <c r="H72" s="435">
        <f t="shared" si="11"/>
        <v>0</v>
      </c>
      <c r="I72" s="493">
        <f t="shared" si="0"/>
        <v>0</v>
      </c>
      <c r="J72" s="475"/>
      <c r="K72" s="494"/>
      <c r="L72" s="495">
        <f t="shared" si="1"/>
        <v>0</v>
      </c>
      <c r="M72" s="494"/>
      <c r="N72" s="495">
        <f t="shared" si="2"/>
        <v>0</v>
      </c>
      <c r="O72" s="495">
        <f t="shared" si="3"/>
        <v>0</v>
      </c>
      <c r="P72" s="243"/>
    </row>
    <row r="73" spans="2:16">
      <c r="C73" s="347" t="s">
        <v>77</v>
      </c>
      <c r="D73" s="348"/>
      <c r="E73" s="348">
        <f>SUM(E17:E72)</f>
        <v>330872.00000000006</v>
      </c>
      <c r="F73" s="348"/>
      <c r="G73" s="348">
        <f>SUM(G17:G72)</f>
        <v>1158979.1839889854</v>
      </c>
      <c r="H73" s="348">
        <f>SUM(H17:H72)</f>
        <v>1158979.1839889854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21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40464.576318636115</v>
      </c>
      <c r="N87" s="508">
        <f>IF(J92&lt;D11,0,VLOOKUP(J92,C17:O72,11))</f>
        <v>40464.576318636115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42183.031080558285</v>
      </c>
      <c r="N88" s="512">
        <f>IF(J92&lt;D11,0,VLOOKUP(J92,C99:P154,7))</f>
        <v>42183.031080558285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Darlington-Roman Nose 138 kV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1718.4547619221703</v>
      </c>
      <c r="N89" s="517">
        <f>+N88-N87</f>
        <v>1718.4547619221703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TP2015027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330872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2017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8070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2017</v>
      </c>
      <c r="D99" s="584">
        <v>0</v>
      </c>
      <c r="E99" s="608">
        <v>3596</v>
      </c>
      <c r="F99" s="584">
        <v>327228</v>
      </c>
      <c r="G99" s="608">
        <v>163614</v>
      </c>
      <c r="H99" s="587">
        <v>24350.848452847567</v>
      </c>
      <c r="I99" s="607">
        <v>24350.848452847567</v>
      </c>
      <c r="J99" s="478">
        <f t="shared" ref="J99:J130" si="12">+I99-H99</f>
        <v>0</v>
      </c>
      <c r="K99" s="478"/>
      <c r="L99" s="477">
        <f>+H99</f>
        <v>24350.848452847567</v>
      </c>
      <c r="M99" s="477">
        <f t="shared" ref="M99:M130" si="13">IF(L99&lt;&gt;0,+H99-L99,0)</f>
        <v>0</v>
      </c>
      <c r="N99" s="477">
        <f>+I99</f>
        <v>24350.848452847567</v>
      </c>
      <c r="O99" s="477">
        <f t="shared" ref="O99:O130" si="14">IF(N99&lt;&gt;0,+I99-N99,0)</f>
        <v>0</v>
      </c>
      <c r="P99" s="477">
        <f t="shared" ref="P99:P130" si="15">+O99-M99</f>
        <v>0</v>
      </c>
    </row>
    <row r="100" spans="1:16">
      <c r="B100" s="160" t="str">
        <f>IF(D100=F99,"","IU")</f>
        <v/>
      </c>
      <c r="C100" s="472">
        <f>IF(D93="","-",+C99+1)</f>
        <v>2018</v>
      </c>
      <c r="D100" s="584">
        <v>327228</v>
      </c>
      <c r="E100" s="585">
        <v>7694</v>
      </c>
      <c r="F100" s="586">
        <v>319534</v>
      </c>
      <c r="G100" s="586">
        <v>323381</v>
      </c>
      <c r="H100" s="606">
        <v>40916.73033605556</v>
      </c>
      <c r="I100" s="607">
        <v>40916.73033605556</v>
      </c>
      <c r="J100" s="478">
        <f t="shared" si="12"/>
        <v>0</v>
      </c>
      <c r="K100" s="478"/>
      <c r="L100" s="476">
        <f>H100</f>
        <v>40916.73033605556</v>
      </c>
      <c r="M100" s="349">
        <f>IF(L100&lt;&gt;0,+H100-L100,0)</f>
        <v>0</v>
      </c>
      <c r="N100" s="476">
        <f>I100</f>
        <v>40916.73033605556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16">IF(D101=F100,"","IU")</f>
        <v>IU</v>
      </c>
      <c r="C101" s="472">
        <f>IF(D93="","-",+C100+1)</f>
        <v>2019</v>
      </c>
      <c r="D101" s="584">
        <v>319582</v>
      </c>
      <c r="E101" s="585">
        <v>8070</v>
      </c>
      <c r="F101" s="586">
        <v>311512</v>
      </c>
      <c r="G101" s="586">
        <v>315547</v>
      </c>
      <c r="H101" s="606">
        <v>40607.321587664657</v>
      </c>
      <c r="I101" s="607">
        <v>40607.321587664657</v>
      </c>
      <c r="J101" s="478">
        <f t="shared" si="12"/>
        <v>0</v>
      </c>
      <c r="K101" s="478"/>
      <c r="L101" s="476">
        <f>H101</f>
        <v>40607.321587664657</v>
      </c>
      <c r="M101" s="349">
        <f>IF(L101&lt;&gt;0,+H101-L101,0)</f>
        <v>0</v>
      </c>
      <c r="N101" s="476">
        <f>I101</f>
        <v>40607.321587664657</v>
      </c>
      <c r="O101" s="478">
        <f t="shared" si="14"/>
        <v>0</v>
      </c>
      <c r="P101" s="478">
        <f t="shared" si="15"/>
        <v>0</v>
      </c>
    </row>
    <row r="102" spans="1:16">
      <c r="B102" s="160" t="str">
        <f t="shared" si="16"/>
        <v/>
      </c>
      <c r="C102" s="472">
        <f>IF(D93="","-",+C101+1)</f>
        <v>2020</v>
      </c>
      <c r="D102" s="584">
        <v>311512</v>
      </c>
      <c r="E102" s="585">
        <v>7695</v>
      </c>
      <c r="F102" s="586">
        <v>303817</v>
      </c>
      <c r="G102" s="586">
        <v>307664.5</v>
      </c>
      <c r="H102" s="606">
        <v>43167.870996202138</v>
      </c>
      <c r="I102" s="607">
        <v>43167.870996202138</v>
      </c>
      <c r="J102" s="478">
        <f t="shared" si="12"/>
        <v>0</v>
      </c>
      <c r="K102" s="478"/>
      <c r="L102" s="476">
        <f>H102</f>
        <v>43167.870996202138</v>
      </c>
      <c r="M102" s="349">
        <f>IF(L102&lt;&gt;0,+H102-L102,0)</f>
        <v>0</v>
      </c>
      <c r="N102" s="476">
        <f>I102</f>
        <v>43167.870996202138</v>
      </c>
      <c r="O102" s="478">
        <f t="shared" si="14"/>
        <v>0</v>
      </c>
      <c r="P102" s="478">
        <f t="shared" si="15"/>
        <v>0</v>
      </c>
    </row>
    <row r="103" spans="1:16">
      <c r="B103" s="160" t="str">
        <f t="shared" si="16"/>
        <v/>
      </c>
      <c r="C103" s="472">
        <f>IF(D93="","-",+C102+1)</f>
        <v>2021</v>
      </c>
      <c r="D103" s="347">
        <f>IF(F102+SUM(E$99:E102)=D$92,F102,D$92-SUM(E$99:E102))</f>
        <v>303817</v>
      </c>
      <c r="E103" s="484">
        <f t="shared" ref="E103:E154" si="17">IF(+J$96&lt;F102,J$96,D103)</f>
        <v>8070</v>
      </c>
      <c r="F103" s="485">
        <f t="shared" ref="F103:F154" si="18">+D103-E103</f>
        <v>295747</v>
      </c>
      <c r="G103" s="485">
        <f t="shared" ref="G103:G154" si="19">+(F103+D103)/2</f>
        <v>299782</v>
      </c>
      <c r="H103" s="486">
        <f t="shared" ref="H103:H153" si="20">(D103+F103)/2*J$94+E103</f>
        <v>42183.031080558285</v>
      </c>
      <c r="I103" s="542">
        <f t="shared" ref="I103:I153" si="21">+J$95*G103+E103</f>
        <v>42183.031080558285</v>
      </c>
      <c r="J103" s="478">
        <f t="shared" si="12"/>
        <v>0</v>
      </c>
      <c r="K103" s="478"/>
      <c r="L103" s="487"/>
      <c r="M103" s="478">
        <f t="shared" si="13"/>
        <v>0</v>
      </c>
      <c r="N103" s="487"/>
      <c r="O103" s="478">
        <f t="shared" si="14"/>
        <v>0</v>
      </c>
      <c r="P103" s="478">
        <f t="shared" si="15"/>
        <v>0</v>
      </c>
    </row>
    <row r="104" spans="1:16">
      <c r="B104" s="160" t="str">
        <f t="shared" si="16"/>
        <v/>
      </c>
      <c r="C104" s="472">
        <f>IF(D93="","-",+C103+1)</f>
        <v>2022</v>
      </c>
      <c r="D104" s="347">
        <f>IF(F103+SUM(E$99:E103)=D$92,F103,D$92-SUM(E$99:E103))</f>
        <v>295747</v>
      </c>
      <c r="E104" s="484">
        <f t="shared" si="17"/>
        <v>8070</v>
      </c>
      <c r="F104" s="485">
        <f t="shared" si="18"/>
        <v>287677</v>
      </c>
      <c r="G104" s="485">
        <f t="shared" si="19"/>
        <v>291712</v>
      </c>
      <c r="H104" s="486">
        <f t="shared" si="20"/>
        <v>41264.723240794367</v>
      </c>
      <c r="I104" s="542">
        <f t="shared" si="21"/>
        <v>41264.723240794367</v>
      </c>
      <c r="J104" s="478">
        <f t="shared" si="12"/>
        <v>0</v>
      </c>
      <c r="K104" s="478"/>
      <c r="L104" s="487"/>
      <c r="M104" s="478">
        <f t="shared" si="13"/>
        <v>0</v>
      </c>
      <c r="N104" s="487"/>
      <c r="O104" s="478">
        <f t="shared" si="14"/>
        <v>0</v>
      </c>
      <c r="P104" s="478">
        <f t="shared" si="15"/>
        <v>0</v>
      </c>
    </row>
    <row r="105" spans="1:16">
      <c r="B105" s="160" t="str">
        <f t="shared" si="16"/>
        <v/>
      </c>
      <c r="C105" s="472">
        <f>IF(D93="","-",+C104+1)</f>
        <v>2023</v>
      </c>
      <c r="D105" s="347">
        <f>IF(F104+SUM(E$99:E104)=D$92,F104,D$92-SUM(E$99:E104))</f>
        <v>287677</v>
      </c>
      <c r="E105" s="484">
        <f t="shared" si="17"/>
        <v>8070</v>
      </c>
      <c r="F105" s="485">
        <f t="shared" si="18"/>
        <v>279607</v>
      </c>
      <c r="G105" s="485">
        <f t="shared" si="19"/>
        <v>283642</v>
      </c>
      <c r="H105" s="486">
        <f t="shared" si="20"/>
        <v>40346.415401030456</v>
      </c>
      <c r="I105" s="542">
        <f t="shared" si="21"/>
        <v>40346.415401030456</v>
      </c>
      <c r="J105" s="478">
        <f t="shared" si="12"/>
        <v>0</v>
      </c>
      <c r="K105" s="478"/>
      <c r="L105" s="487"/>
      <c r="M105" s="478">
        <f t="shared" si="13"/>
        <v>0</v>
      </c>
      <c r="N105" s="487"/>
      <c r="O105" s="478">
        <f t="shared" si="14"/>
        <v>0</v>
      </c>
      <c r="P105" s="478">
        <f t="shared" si="15"/>
        <v>0</v>
      </c>
    </row>
    <row r="106" spans="1:16">
      <c r="B106" s="160" t="str">
        <f t="shared" si="16"/>
        <v/>
      </c>
      <c r="C106" s="472">
        <f>IF(D93="","-",+C105+1)</f>
        <v>2024</v>
      </c>
      <c r="D106" s="347">
        <f>IF(F105+SUM(E$99:E105)=D$92,F105,D$92-SUM(E$99:E105))</f>
        <v>279607</v>
      </c>
      <c r="E106" s="484">
        <f t="shared" si="17"/>
        <v>8070</v>
      </c>
      <c r="F106" s="485">
        <f t="shared" si="18"/>
        <v>271537</v>
      </c>
      <c r="G106" s="485">
        <f t="shared" si="19"/>
        <v>275572</v>
      </c>
      <c r="H106" s="486">
        <f t="shared" si="20"/>
        <v>39428.107561266545</v>
      </c>
      <c r="I106" s="542">
        <f t="shared" si="21"/>
        <v>39428.107561266545</v>
      </c>
      <c r="J106" s="478">
        <f t="shared" si="12"/>
        <v>0</v>
      </c>
      <c r="K106" s="478"/>
      <c r="L106" s="487"/>
      <c r="M106" s="478">
        <f t="shared" si="13"/>
        <v>0</v>
      </c>
      <c r="N106" s="487"/>
      <c r="O106" s="478">
        <f t="shared" si="14"/>
        <v>0</v>
      </c>
      <c r="P106" s="478">
        <f t="shared" si="15"/>
        <v>0</v>
      </c>
    </row>
    <row r="107" spans="1:16">
      <c r="B107" s="160" t="str">
        <f t="shared" si="16"/>
        <v/>
      </c>
      <c r="C107" s="472">
        <f>IF(D93="","-",+C106+1)</f>
        <v>2025</v>
      </c>
      <c r="D107" s="347">
        <f>IF(F106+SUM(E$99:E106)=D$92,F106,D$92-SUM(E$99:E106))</f>
        <v>271537</v>
      </c>
      <c r="E107" s="484">
        <f t="shared" si="17"/>
        <v>8070</v>
      </c>
      <c r="F107" s="485">
        <f t="shared" si="18"/>
        <v>263467</v>
      </c>
      <c r="G107" s="485">
        <f t="shared" si="19"/>
        <v>267502</v>
      </c>
      <c r="H107" s="486">
        <f t="shared" si="20"/>
        <v>38509.799721502626</v>
      </c>
      <c r="I107" s="542">
        <f t="shared" si="21"/>
        <v>38509.799721502626</v>
      </c>
      <c r="J107" s="478">
        <f t="shared" si="12"/>
        <v>0</v>
      </c>
      <c r="K107" s="478"/>
      <c r="L107" s="487"/>
      <c r="M107" s="478">
        <f t="shared" si="13"/>
        <v>0</v>
      </c>
      <c r="N107" s="487"/>
      <c r="O107" s="478">
        <f t="shared" si="14"/>
        <v>0</v>
      </c>
      <c r="P107" s="478">
        <f t="shared" si="15"/>
        <v>0</v>
      </c>
    </row>
    <row r="108" spans="1:16">
      <c r="B108" s="160" t="str">
        <f t="shared" si="16"/>
        <v/>
      </c>
      <c r="C108" s="472">
        <f>IF(D93="","-",+C107+1)</f>
        <v>2026</v>
      </c>
      <c r="D108" s="347">
        <f>IF(F107+SUM(E$99:E107)=D$92,F107,D$92-SUM(E$99:E107))</f>
        <v>263467</v>
      </c>
      <c r="E108" s="484">
        <f t="shared" si="17"/>
        <v>8070</v>
      </c>
      <c r="F108" s="485">
        <f t="shared" si="18"/>
        <v>255397</v>
      </c>
      <c r="G108" s="485">
        <f t="shared" si="19"/>
        <v>259432</v>
      </c>
      <c r="H108" s="486">
        <f t="shared" si="20"/>
        <v>37591.491881738722</v>
      </c>
      <c r="I108" s="542">
        <f t="shared" si="21"/>
        <v>37591.491881738722</v>
      </c>
      <c r="J108" s="478">
        <f t="shared" si="12"/>
        <v>0</v>
      </c>
      <c r="K108" s="478"/>
      <c r="L108" s="487"/>
      <c r="M108" s="478">
        <f t="shared" si="13"/>
        <v>0</v>
      </c>
      <c r="N108" s="487"/>
      <c r="O108" s="478">
        <f t="shared" si="14"/>
        <v>0</v>
      </c>
      <c r="P108" s="478">
        <f t="shared" si="15"/>
        <v>0</v>
      </c>
    </row>
    <row r="109" spans="1:16">
      <c r="B109" s="160" t="str">
        <f t="shared" si="16"/>
        <v/>
      </c>
      <c r="C109" s="472">
        <f>IF(D93="","-",+C108+1)</f>
        <v>2027</v>
      </c>
      <c r="D109" s="347">
        <f>IF(F108+SUM(E$99:E108)=D$92,F108,D$92-SUM(E$99:E108))</f>
        <v>255397</v>
      </c>
      <c r="E109" s="484">
        <f t="shared" si="17"/>
        <v>8070</v>
      </c>
      <c r="F109" s="485">
        <f t="shared" si="18"/>
        <v>247327</v>
      </c>
      <c r="G109" s="485">
        <f t="shared" si="19"/>
        <v>251362</v>
      </c>
      <c r="H109" s="486">
        <f t="shared" si="20"/>
        <v>36673.184041974804</v>
      </c>
      <c r="I109" s="542">
        <f t="shared" si="21"/>
        <v>36673.184041974804</v>
      </c>
      <c r="J109" s="478">
        <f t="shared" si="12"/>
        <v>0</v>
      </c>
      <c r="K109" s="478"/>
      <c r="L109" s="487"/>
      <c r="M109" s="478">
        <f t="shared" si="13"/>
        <v>0</v>
      </c>
      <c r="N109" s="487"/>
      <c r="O109" s="478">
        <f t="shared" si="14"/>
        <v>0</v>
      </c>
      <c r="P109" s="478">
        <f t="shared" si="15"/>
        <v>0</v>
      </c>
    </row>
    <row r="110" spans="1:16">
      <c r="B110" s="160" t="str">
        <f t="shared" si="16"/>
        <v/>
      </c>
      <c r="C110" s="472">
        <f>IF(D93="","-",+C109+1)</f>
        <v>2028</v>
      </c>
      <c r="D110" s="347">
        <f>IF(F109+SUM(E$99:E109)=D$92,F109,D$92-SUM(E$99:E109))</f>
        <v>247327</v>
      </c>
      <c r="E110" s="484">
        <f t="shared" si="17"/>
        <v>8070</v>
      </c>
      <c r="F110" s="485">
        <f t="shared" si="18"/>
        <v>239257</v>
      </c>
      <c r="G110" s="485">
        <f t="shared" si="19"/>
        <v>243292</v>
      </c>
      <c r="H110" s="486">
        <f t="shared" si="20"/>
        <v>35754.876202210893</v>
      </c>
      <c r="I110" s="542">
        <f t="shared" si="21"/>
        <v>35754.876202210893</v>
      </c>
      <c r="J110" s="478">
        <f t="shared" si="12"/>
        <v>0</v>
      </c>
      <c r="K110" s="478"/>
      <c r="L110" s="487"/>
      <c r="M110" s="478">
        <f t="shared" si="13"/>
        <v>0</v>
      </c>
      <c r="N110" s="487"/>
      <c r="O110" s="478">
        <f t="shared" si="14"/>
        <v>0</v>
      </c>
      <c r="P110" s="478">
        <f t="shared" si="15"/>
        <v>0</v>
      </c>
    </row>
    <row r="111" spans="1:16">
      <c r="B111" s="160" t="str">
        <f t="shared" si="16"/>
        <v/>
      </c>
      <c r="C111" s="472">
        <f>IF(D93="","-",+C110+1)</f>
        <v>2029</v>
      </c>
      <c r="D111" s="347">
        <f>IF(F110+SUM(E$99:E110)=D$92,F110,D$92-SUM(E$99:E110))</f>
        <v>239257</v>
      </c>
      <c r="E111" s="484">
        <f t="shared" si="17"/>
        <v>8070</v>
      </c>
      <c r="F111" s="485">
        <f t="shared" si="18"/>
        <v>231187</v>
      </c>
      <c r="G111" s="485">
        <f t="shared" si="19"/>
        <v>235222</v>
      </c>
      <c r="H111" s="486">
        <f t="shared" si="20"/>
        <v>34836.568362446982</v>
      </c>
      <c r="I111" s="542">
        <f t="shared" si="21"/>
        <v>34836.568362446982</v>
      </c>
      <c r="J111" s="478">
        <f t="shared" si="12"/>
        <v>0</v>
      </c>
      <c r="K111" s="478"/>
      <c r="L111" s="487"/>
      <c r="M111" s="478">
        <f t="shared" si="13"/>
        <v>0</v>
      </c>
      <c r="N111" s="487"/>
      <c r="O111" s="478">
        <f t="shared" si="14"/>
        <v>0</v>
      </c>
      <c r="P111" s="478">
        <f t="shared" si="15"/>
        <v>0</v>
      </c>
    </row>
    <row r="112" spans="1:16">
      <c r="B112" s="160" t="str">
        <f t="shared" si="16"/>
        <v/>
      </c>
      <c r="C112" s="472">
        <f>IF(D93="","-",+C111+1)</f>
        <v>2030</v>
      </c>
      <c r="D112" s="347">
        <f>IF(F111+SUM(E$99:E111)=D$92,F111,D$92-SUM(E$99:E111))</f>
        <v>231187</v>
      </c>
      <c r="E112" s="484">
        <f t="shared" si="17"/>
        <v>8070</v>
      </c>
      <c r="F112" s="485">
        <f t="shared" si="18"/>
        <v>223117</v>
      </c>
      <c r="G112" s="485">
        <f t="shared" si="19"/>
        <v>227152</v>
      </c>
      <c r="H112" s="486">
        <f t="shared" si="20"/>
        <v>33918.260522683064</v>
      </c>
      <c r="I112" s="542">
        <f t="shared" si="21"/>
        <v>33918.260522683064</v>
      </c>
      <c r="J112" s="478">
        <f t="shared" si="12"/>
        <v>0</v>
      </c>
      <c r="K112" s="478"/>
      <c r="L112" s="487"/>
      <c r="M112" s="478">
        <f t="shared" si="13"/>
        <v>0</v>
      </c>
      <c r="N112" s="487"/>
      <c r="O112" s="478">
        <f t="shared" si="14"/>
        <v>0</v>
      </c>
      <c r="P112" s="478">
        <f t="shared" si="15"/>
        <v>0</v>
      </c>
    </row>
    <row r="113" spans="2:16">
      <c r="B113" s="160" t="str">
        <f t="shared" si="16"/>
        <v/>
      </c>
      <c r="C113" s="472">
        <f>IF(D93="","-",+C112+1)</f>
        <v>2031</v>
      </c>
      <c r="D113" s="347">
        <f>IF(F112+SUM(E$99:E112)=D$92,F112,D$92-SUM(E$99:E112))</f>
        <v>223117</v>
      </c>
      <c r="E113" s="484">
        <f t="shared" si="17"/>
        <v>8070</v>
      </c>
      <c r="F113" s="485">
        <f t="shared" si="18"/>
        <v>215047</v>
      </c>
      <c r="G113" s="485">
        <f t="shared" si="19"/>
        <v>219082</v>
      </c>
      <c r="H113" s="486">
        <f t="shared" si="20"/>
        <v>32999.952682919153</v>
      </c>
      <c r="I113" s="542">
        <f t="shared" si="21"/>
        <v>32999.952682919153</v>
      </c>
      <c r="J113" s="478">
        <f t="shared" si="12"/>
        <v>0</v>
      </c>
      <c r="K113" s="478"/>
      <c r="L113" s="487"/>
      <c r="M113" s="478">
        <f t="shared" si="13"/>
        <v>0</v>
      </c>
      <c r="N113" s="487"/>
      <c r="O113" s="478">
        <f t="shared" si="14"/>
        <v>0</v>
      </c>
      <c r="P113" s="478">
        <f t="shared" si="15"/>
        <v>0</v>
      </c>
    </row>
    <row r="114" spans="2:16">
      <c r="B114" s="160" t="str">
        <f t="shared" si="16"/>
        <v/>
      </c>
      <c r="C114" s="472">
        <f>IF(D93="","-",+C113+1)</f>
        <v>2032</v>
      </c>
      <c r="D114" s="347">
        <f>IF(F113+SUM(E$99:E113)=D$92,F113,D$92-SUM(E$99:E113))</f>
        <v>215047</v>
      </c>
      <c r="E114" s="484">
        <f t="shared" si="17"/>
        <v>8070</v>
      </c>
      <c r="F114" s="485">
        <f t="shared" si="18"/>
        <v>206977</v>
      </c>
      <c r="G114" s="485">
        <f t="shared" si="19"/>
        <v>211012</v>
      </c>
      <c r="H114" s="486">
        <f t="shared" si="20"/>
        <v>32081.644843155242</v>
      </c>
      <c r="I114" s="542">
        <f t="shared" si="21"/>
        <v>32081.644843155242</v>
      </c>
      <c r="J114" s="478">
        <f t="shared" si="12"/>
        <v>0</v>
      </c>
      <c r="K114" s="478"/>
      <c r="L114" s="487"/>
      <c r="M114" s="478">
        <f t="shared" si="13"/>
        <v>0</v>
      </c>
      <c r="N114" s="487"/>
      <c r="O114" s="478">
        <f t="shared" si="14"/>
        <v>0</v>
      </c>
      <c r="P114" s="478">
        <f t="shared" si="15"/>
        <v>0</v>
      </c>
    </row>
    <row r="115" spans="2:16">
      <c r="B115" s="160" t="str">
        <f t="shared" si="16"/>
        <v/>
      </c>
      <c r="C115" s="472">
        <f>IF(D93="","-",+C114+1)</f>
        <v>2033</v>
      </c>
      <c r="D115" s="347">
        <f>IF(F114+SUM(E$99:E114)=D$92,F114,D$92-SUM(E$99:E114))</f>
        <v>206977</v>
      </c>
      <c r="E115" s="484">
        <f t="shared" si="17"/>
        <v>8070</v>
      </c>
      <c r="F115" s="485">
        <f t="shared" si="18"/>
        <v>198907</v>
      </c>
      <c r="G115" s="485">
        <f t="shared" si="19"/>
        <v>202942</v>
      </c>
      <c r="H115" s="486">
        <f t="shared" si="20"/>
        <v>31163.337003391327</v>
      </c>
      <c r="I115" s="542">
        <f t="shared" si="21"/>
        <v>31163.337003391327</v>
      </c>
      <c r="J115" s="478">
        <f t="shared" si="12"/>
        <v>0</v>
      </c>
      <c r="K115" s="478"/>
      <c r="L115" s="487"/>
      <c r="M115" s="478">
        <f t="shared" si="13"/>
        <v>0</v>
      </c>
      <c r="N115" s="487"/>
      <c r="O115" s="478">
        <f t="shared" si="14"/>
        <v>0</v>
      </c>
      <c r="P115" s="478">
        <f t="shared" si="15"/>
        <v>0</v>
      </c>
    </row>
    <row r="116" spans="2:16">
      <c r="B116" s="160" t="str">
        <f t="shared" si="16"/>
        <v/>
      </c>
      <c r="C116" s="472">
        <f>IF(D93="","-",+C115+1)</f>
        <v>2034</v>
      </c>
      <c r="D116" s="347">
        <f>IF(F115+SUM(E$99:E115)=D$92,F115,D$92-SUM(E$99:E115))</f>
        <v>198907</v>
      </c>
      <c r="E116" s="484">
        <f t="shared" si="17"/>
        <v>8070</v>
      </c>
      <c r="F116" s="485">
        <f t="shared" si="18"/>
        <v>190837</v>
      </c>
      <c r="G116" s="485">
        <f t="shared" si="19"/>
        <v>194872</v>
      </c>
      <c r="H116" s="486">
        <f t="shared" si="20"/>
        <v>30245.029163627416</v>
      </c>
      <c r="I116" s="542">
        <f t="shared" si="21"/>
        <v>30245.029163627416</v>
      </c>
      <c r="J116" s="478">
        <f t="shared" si="12"/>
        <v>0</v>
      </c>
      <c r="K116" s="478"/>
      <c r="L116" s="487"/>
      <c r="M116" s="478">
        <f t="shared" si="13"/>
        <v>0</v>
      </c>
      <c r="N116" s="487"/>
      <c r="O116" s="478">
        <f t="shared" si="14"/>
        <v>0</v>
      </c>
      <c r="P116" s="478">
        <f t="shared" si="15"/>
        <v>0</v>
      </c>
    </row>
    <row r="117" spans="2:16">
      <c r="B117" s="160" t="str">
        <f t="shared" si="16"/>
        <v/>
      </c>
      <c r="C117" s="472">
        <f>IF(D93="","-",+C116+1)</f>
        <v>2035</v>
      </c>
      <c r="D117" s="347">
        <f>IF(F116+SUM(E$99:E116)=D$92,F116,D$92-SUM(E$99:E116))</f>
        <v>190837</v>
      </c>
      <c r="E117" s="484">
        <f t="shared" si="17"/>
        <v>8070</v>
      </c>
      <c r="F117" s="485">
        <f t="shared" si="18"/>
        <v>182767</v>
      </c>
      <c r="G117" s="485">
        <f t="shared" si="19"/>
        <v>186802</v>
      </c>
      <c r="H117" s="486">
        <f t="shared" si="20"/>
        <v>29326.721323863501</v>
      </c>
      <c r="I117" s="542">
        <f t="shared" si="21"/>
        <v>29326.721323863501</v>
      </c>
      <c r="J117" s="478">
        <f t="shared" si="12"/>
        <v>0</v>
      </c>
      <c r="K117" s="478"/>
      <c r="L117" s="487"/>
      <c r="M117" s="478">
        <f t="shared" si="13"/>
        <v>0</v>
      </c>
      <c r="N117" s="487"/>
      <c r="O117" s="478">
        <f t="shared" si="14"/>
        <v>0</v>
      </c>
      <c r="P117" s="478">
        <f t="shared" si="15"/>
        <v>0</v>
      </c>
    </row>
    <row r="118" spans="2:16">
      <c r="B118" s="160" t="str">
        <f t="shared" si="16"/>
        <v/>
      </c>
      <c r="C118" s="472">
        <f>IF(D93="","-",+C117+1)</f>
        <v>2036</v>
      </c>
      <c r="D118" s="347">
        <f>IF(F117+SUM(E$99:E117)=D$92,F117,D$92-SUM(E$99:E117))</f>
        <v>182767</v>
      </c>
      <c r="E118" s="484">
        <f t="shared" si="17"/>
        <v>8070</v>
      </c>
      <c r="F118" s="485">
        <f t="shared" si="18"/>
        <v>174697</v>
      </c>
      <c r="G118" s="485">
        <f t="shared" si="19"/>
        <v>178732</v>
      </c>
      <c r="H118" s="486">
        <f t="shared" si="20"/>
        <v>28408.41348409959</v>
      </c>
      <c r="I118" s="542">
        <f t="shared" si="21"/>
        <v>28408.41348409959</v>
      </c>
      <c r="J118" s="478">
        <f t="shared" si="12"/>
        <v>0</v>
      </c>
      <c r="K118" s="478"/>
      <c r="L118" s="487"/>
      <c r="M118" s="478">
        <f t="shared" si="13"/>
        <v>0</v>
      </c>
      <c r="N118" s="487"/>
      <c r="O118" s="478">
        <f t="shared" si="14"/>
        <v>0</v>
      </c>
      <c r="P118" s="478">
        <f t="shared" si="15"/>
        <v>0</v>
      </c>
    </row>
    <row r="119" spans="2:16">
      <c r="B119" s="160" t="str">
        <f t="shared" si="16"/>
        <v/>
      </c>
      <c r="C119" s="472">
        <f>IF(D93="","-",+C118+1)</f>
        <v>2037</v>
      </c>
      <c r="D119" s="347">
        <f>IF(F118+SUM(E$99:E118)=D$92,F118,D$92-SUM(E$99:E118))</f>
        <v>174697</v>
      </c>
      <c r="E119" s="484">
        <f t="shared" si="17"/>
        <v>8070</v>
      </c>
      <c r="F119" s="485">
        <f t="shared" si="18"/>
        <v>166627</v>
      </c>
      <c r="G119" s="485">
        <f t="shared" si="19"/>
        <v>170662</v>
      </c>
      <c r="H119" s="486">
        <f t="shared" si="20"/>
        <v>27490.105644335676</v>
      </c>
      <c r="I119" s="542">
        <f t="shared" si="21"/>
        <v>27490.105644335676</v>
      </c>
      <c r="J119" s="478">
        <f t="shared" si="12"/>
        <v>0</v>
      </c>
      <c r="K119" s="478"/>
      <c r="L119" s="487"/>
      <c r="M119" s="478">
        <f t="shared" si="13"/>
        <v>0</v>
      </c>
      <c r="N119" s="487"/>
      <c r="O119" s="478">
        <f t="shared" si="14"/>
        <v>0</v>
      </c>
      <c r="P119" s="478">
        <f t="shared" si="15"/>
        <v>0</v>
      </c>
    </row>
    <row r="120" spans="2:16">
      <c r="B120" s="160" t="str">
        <f t="shared" si="16"/>
        <v/>
      </c>
      <c r="C120" s="472">
        <f>IF(D93="","-",+C119+1)</f>
        <v>2038</v>
      </c>
      <c r="D120" s="347">
        <f>IF(F119+SUM(E$99:E119)=D$92,F119,D$92-SUM(E$99:E119))</f>
        <v>166627</v>
      </c>
      <c r="E120" s="484">
        <f t="shared" si="17"/>
        <v>8070</v>
      </c>
      <c r="F120" s="485">
        <f t="shared" si="18"/>
        <v>158557</v>
      </c>
      <c r="G120" s="485">
        <f t="shared" si="19"/>
        <v>162592</v>
      </c>
      <c r="H120" s="486">
        <f t="shared" si="20"/>
        <v>26571.797804571765</v>
      </c>
      <c r="I120" s="542">
        <f t="shared" si="21"/>
        <v>26571.797804571765</v>
      </c>
      <c r="J120" s="478">
        <f t="shared" si="12"/>
        <v>0</v>
      </c>
      <c r="K120" s="478"/>
      <c r="L120" s="487"/>
      <c r="M120" s="478">
        <f t="shared" si="13"/>
        <v>0</v>
      </c>
      <c r="N120" s="487"/>
      <c r="O120" s="478">
        <f t="shared" si="14"/>
        <v>0</v>
      </c>
      <c r="P120" s="478">
        <f t="shared" si="15"/>
        <v>0</v>
      </c>
    </row>
    <row r="121" spans="2:16">
      <c r="B121" s="160" t="str">
        <f t="shared" si="16"/>
        <v/>
      </c>
      <c r="C121" s="472">
        <f>IF(D93="","-",+C120+1)</f>
        <v>2039</v>
      </c>
      <c r="D121" s="347">
        <f>IF(F120+SUM(E$99:E120)=D$92,F120,D$92-SUM(E$99:E120))</f>
        <v>158557</v>
      </c>
      <c r="E121" s="484">
        <f t="shared" si="17"/>
        <v>8070</v>
      </c>
      <c r="F121" s="485">
        <f t="shared" si="18"/>
        <v>150487</v>
      </c>
      <c r="G121" s="485">
        <f t="shared" si="19"/>
        <v>154522</v>
      </c>
      <c r="H121" s="486">
        <f t="shared" si="20"/>
        <v>25653.48996480785</v>
      </c>
      <c r="I121" s="542">
        <f t="shared" si="21"/>
        <v>25653.48996480785</v>
      </c>
      <c r="J121" s="478">
        <f t="shared" si="12"/>
        <v>0</v>
      </c>
      <c r="K121" s="478"/>
      <c r="L121" s="487"/>
      <c r="M121" s="478">
        <f t="shared" si="13"/>
        <v>0</v>
      </c>
      <c r="N121" s="487"/>
      <c r="O121" s="478">
        <f t="shared" si="14"/>
        <v>0</v>
      </c>
      <c r="P121" s="478">
        <f t="shared" si="15"/>
        <v>0</v>
      </c>
    </row>
    <row r="122" spans="2:16">
      <c r="B122" s="160" t="str">
        <f t="shared" si="16"/>
        <v/>
      </c>
      <c r="C122" s="472">
        <f>IF(D93="","-",+C121+1)</f>
        <v>2040</v>
      </c>
      <c r="D122" s="347">
        <f>IF(F121+SUM(E$99:E121)=D$92,F121,D$92-SUM(E$99:E121))</f>
        <v>150487</v>
      </c>
      <c r="E122" s="484">
        <f t="shared" si="17"/>
        <v>8070</v>
      </c>
      <c r="F122" s="485">
        <f t="shared" si="18"/>
        <v>142417</v>
      </c>
      <c r="G122" s="485">
        <f t="shared" si="19"/>
        <v>146452</v>
      </c>
      <c r="H122" s="486">
        <f t="shared" si="20"/>
        <v>24735.182125043939</v>
      </c>
      <c r="I122" s="542">
        <f t="shared" si="21"/>
        <v>24735.182125043939</v>
      </c>
      <c r="J122" s="478">
        <f t="shared" si="12"/>
        <v>0</v>
      </c>
      <c r="K122" s="478"/>
      <c r="L122" s="487"/>
      <c r="M122" s="478">
        <f t="shared" si="13"/>
        <v>0</v>
      </c>
      <c r="N122" s="487"/>
      <c r="O122" s="478">
        <f t="shared" si="14"/>
        <v>0</v>
      </c>
      <c r="P122" s="478">
        <f t="shared" si="15"/>
        <v>0</v>
      </c>
    </row>
    <row r="123" spans="2:16">
      <c r="B123" s="160" t="str">
        <f t="shared" si="16"/>
        <v/>
      </c>
      <c r="C123" s="472">
        <f>IF(D93="","-",+C122+1)</f>
        <v>2041</v>
      </c>
      <c r="D123" s="347">
        <f>IF(F122+SUM(E$99:E122)=D$92,F122,D$92-SUM(E$99:E122))</f>
        <v>142417</v>
      </c>
      <c r="E123" s="484">
        <f t="shared" si="17"/>
        <v>8070</v>
      </c>
      <c r="F123" s="485">
        <f t="shared" si="18"/>
        <v>134347</v>
      </c>
      <c r="G123" s="485">
        <f t="shared" si="19"/>
        <v>138382</v>
      </c>
      <c r="H123" s="486">
        <f t="shared" si="20"/>
        <v>23816.874285280024</v>
      </c>
      <c r="I123" s="542">
        <f t="shared" si="21"/>
        <v>23816.874285280024</v>
      </c>
      <c r="J123" s="478">
        <f t="shared" si="12"/>
        <v>0</v>
      </c>
      <c r="K123" s="478"/>
      <c r="L123" s="487"/>
      <c r="M123" s="478">
        <f t="shared" si="13"/>
        <v>0</v>
      </c>
      <c r="N123" s="487"/>
      <c r="O123" s="478">
        <f t="shared" si="14"/>
        <v>0</v>
      </c>
      <c r="P123" s="478">
        <f t="shared" si="15"/>
        <v>0</v>
      </c>
    </row>
    <row r="124" spans="2:16">
      <c r="B124" s="160" t="str">
        <f t="shared" si="16"/>
        <v/>
      </c>
      <c r="C124" s="472">
        <f>IF(D93="","-",+C123+1)</f>
        <v>2042</v>
      </c>
      <c r="D124" s="347">
        <f>IF(F123+SUM(E$99:E123)=D$92,F123,D$92-SUM(E$99:E123))</f>
        <v>134347</v>
      </c>
      <c r="E124" s="484">
        <f t="shared" si="17"/>
        <v>8070</v>
      </c>
      <c r="F124" s="485">
        <f t="shared" si="18"/>
        <v>126277</v>
      </c>
      <c r="G124" s="485">
        <f t="shared" si="19"/>
        <v>130312</v>
      </c>
      <c r="H124" s="486">
        <f t="shared" si="20"/>
        <v>22898.56644551611</v>
      </c>
      <c r="I124" s="542">
        <f t="shared" si="21"/>
        <v>22898.56644551611</v>
      </c>
      <c r="J124" s="478">
        <f t="shared" si="12"/>
        <v>0</v>
      </c>
      <c r="K124" s="478"/>
      <c r="L124" s="487"/>
      <c r="M124" s="478">
        <f t="shared" si="13"/>
        <v>0</v>
      </c>
      <c r="N124" s="487"/>
      <c r="O124" s="478">
        <f t="shared" si="14"/>
        <v>0</v>
      </c>
      <c r="P124" s="478">
        <f t="shared" si="15"/>
        <v>0</v>
      </c>
    </row>
    <row r="125" spans="2:16">
      <c r="B125" s="160" t="str">
        <f t="shared" si="16"/>
        <v/>
      </c>
      <c r="C125" s="472">
        <f>IF(D93="","-",+C124+1)</f>
        <v>2043</v>
      </c>
      <c r="D125" s="347">
        <f>IF(F124+SUM(E$99:E124)=D$92,F124,D$92-SUM(E$99:E124))</f>
        <v>126277</v>
      </c>
      <c r="E125" s="484">
        <f t="shared" si="17"/>
        <v>8070</v>
      </c>
      <c r="F125" s="485">
        <f t="shared" si="18"/>
        <v>118207</v>
      </c>
      <c r="G125" s="485">
        <f t="shared" si="19"/>
        <v>122242</v>
      </c>
      <c r="H125" s="486">
        <f t="shared" si="20"/>
        <v>21980.258605752198</v>
      </c>
      <c r="I125" s="542">
        <f t="shared" si="21"/>
        <v>21980.258605752198</v>
      </c>
      <c r="J125" s="478">
        <f t="shared" si="12"/>
        <v>0</v>
      </c>
      <c r="K125" s="478"/>
      <c r="L125" s="487"/>
      <c r="M125" s="478">
        <f t="shared" si="13"/>
        <v>0</v>
      </c>
      <c r="N125" s="487"/>
      <c r="O125" s="478">
        <f t="shared" si="14"/>
        <v>0</v>
      </c>
      <c r="P125" s="478">
        <f t="shared" si="15"/>
        <v>0</v>
      </c>
    </row>
    <row r="126" spans="2:16">
      <c r="B126" s="160" t="str">
        <f t="shared" si="16"/>
        <v/>
      </c>
      <c r="C126" s="472">
        <f>IF(D93="","-",+C125+1)</f>
        <v>2044</v>
      </c>
      <c r="D126" s="347">
        <f>IF(F125+SUM(E$99:E125)=D$92,F125,D$92-SUM(E$99:E125))</f>
        <v>118207</v>
      </c>
      <c r="E126" s="484">
        <f t="shared" si="17"/>
        <v>8070</v>
      </c>
      <c r="F126" s="485">
        <f t="shared" si="18"/>
        <v>110137</v>
      </c>
      <c r="G126" s="485">
        <f t="shared" si="19"/>
        <v>114172</v>
      </c>
      <c r="H126" s="486">
        <f t="shared" si="20"/>
        <v>21061.950765988287</v>
      </c>
      <c r="I126" s="542">
        <f t="shared" si="21"/>
        <v>21061.950765988287</v>
      </c>
      <c r="J126" s="478">
        <f t="shared" si="12"/>
        <v>0</v>
      </c>
      <c r="K126" s="478"/>
      <c r="L126" s="487"/>
      <c r="M126" s="478">
        <f t="shared" si="13"/>
        <v>0</v>
      </c>
      <c r="N126" s="487"/>
      <c r="O126" s="478">
        <f t="shared" si="14"/>
        <v>0</v>
      </c>
      <c r="P126" s="478">
        <f t="shared" si="15"/>
        <v>0</v>
      </c>
    </row>
    <row r="127" spans="2:16">
      <c r="B127" s="160" t="str">
        <f t="shared" si="16"/>
        <v/>
      </c>
      <c r="C127" s="472">
        <f>IF(D93="","-",+C126+1)</f>
        <v>2045</v>
      </c>
      <c r="D127" s="347">
        <f>IF(F126+SUM(E$99:E126)=D$92,F126,D$92-SUM(E$99:E126))</f>
        <v>110137</v>
      </c>
      <c r="E127" s="484">
        <f t="shared" si="17"/>
        <v>8070</v>
      </c>
      <c r="F127" s="485">
        <f t="shared" si="18"/>
        <v>102067</v>
      </c>
      <c r="G127" s="485">
        <f t="shared" si="19"/>
        <v>106102</v>
      </c>
      <c r="H127" s="486">
        <f t="shared" si="20"/>
        <v>20143.642926224373</v>
      </c>
      <c r="I127" s="542">
        <f t="shared" si="21"/>
        <v>20143.642926224373</v>
      </c>
      <c r="J127" s="478">
        <f t="shared" si="12"/>
        <v>0</v>
      </c>
      <c r="K127" s="478"/>
      <c r="L127" s="487"/>
      <c r="M127" s="478">
        <f t="shared" si="13"/>
        <v>0</v>
      </c>
      <c r="N127" s="487"/>
      <c r="O127" s="478">
        <f t="shared" si="14"/>
        <v>0</v>
      </c>
      <c r="P127" s="478">
        <f t="shared" si="15"/>
        <v>0</v>
      </c>
    </row>
    <row r="128" spans="2:16">
      <c r="B128" s="160" t="str">
        <f t="shared" si="16"/>
        <v/>
      </c>
      <c r="C128" s="472">
        <f>IF(D93="","-",+C127+1)</f>
        <v>2046</v>
      </c>
      <c r="D128" s="347">
        <f>IF(F127+SUM(E$99:E127)=D$92,F127,D$92-SUM(E$99:E127))</f>
        <v>102067</v>
      </c>
      <c r="E128" s="484">
        <f t="shared" si="17"/>
        <v>8070</v>
      </c>
      <c r="F128" s="485">
        <f t="shared" si="18"/>
        <v>93997</v>
      </c>
      <c r="G128" s="485">
        <f t="shared" si="19"/>
        <v>98032</v>
      </c>
      <c r="H128" s="486">
        <f t="shared" si="20"/>
        <v>19225.335086460458</v>
      </c>
      <c r="I128" s="542">
        <f t="shared" si="21"/>
        <v>19225.335086460458</v>
      </c>
      <c r="J128" s="478">
        <f t="shared" si="12"/>
        <v>0</v>
      </c>
      <c r="K128" s="478"/>
      <c r="L128" s="487"/>
      <c r="M128" s="478">
        <f t="shared" si="13"/>
        <v>0</v>
      </c>
      <c r="N128" s="487"/>
      <c r="O128" s="478">
        <f t="shared" si="14"/>
        <v>0</v>
      </c>
      <c r="P128" s="478">
        <f t="shared" si="15"/>
        <v>0</v>
      </c>
    </row>
    <row r="129" spans="2:16">
      <c r="B129" s="160" t="str">
        <f t="shared" si="16"/>
        <v/>
      </c>
      <c r="C129" s="472">
        <f>IF(D93="","-",+C128+1)</f>
        <v>2047</v>
      </c>
      <c r="D129" s="347">
        <f>IF(F128+SUM(E$99:E128)=D$92,F128,D$92-SUM(E$99:E128))</f>
        <v>93997</v>
      </c>
      <c r="E129" s="484">
        <f t="shared" si="17"/>
        <v>8070</v>
      </c>
      <c r="F129" s="485">
        <f t="shared" si="18"/>
        <v>85927</v>
      </c>
      <c r="G129" s="485">
        <f t="shared" si="19"/>
        <v>89962</v>
      </c>
      <c r="H129" s="486">
        <f t="shared" si="20"/>
        <v>18307.027246696547</v>
      </c>
      <c r="I129" s="542">
        <f t="shared" si="21"/>
        <v>18307.027246696547</v>
      </c>
      <c r="J129" s="478">
        <f t="shared" si="12"/>
        <v>0</v>
      </c>
      <c r="K129" s="478"/>
      <c r="L129" s="487"/>
      <c r="M129" s="478">
        <f t="shared" si="13"/>
        <v>0</v>
      </c>
      <c r="N129" s="487"/>
      <c r="O129" s="478">
        <f t="shared" si="14"/>
        <v>0</v>
      </c>
      <c r="P129" s="478">
        <f t="shared" si="15"/>
        <v>0</v>
      </c>
    </row>
    <row r="130" spans="2:16">
      <c r="B130" s="160" t="str">
        <f t="shared" si="16"/>
        <v/>
      </c>
      <c r="C130" s="472">
        <f>IF(D93="","-",+C129+1)</f>
        <v>2048</v>
      </c>
      <c r="D130" s="347">
        <f>IF(F129+SUM(E$99:E129)=D$92,F129,D$92-SUM(E$99:E129))</f>
        <v>85927</v>
      </c>
      <c r="E130" s="484">
        <f t="shared" si="17"/>
        <v>8070</v>
      </c>
      <c r="F130" s="485">
        <f t="shared" si="18"/>
        <v>77857</v>
      </c>
      <c r="G130" s="485">
        <f t="shared" si="19"/>
        <v>81892</v>
      </c>
      <c r="H130" s="486">
        <f t="shared" si="20"/>
        <v>17388.719406932636</v>
      </c>
      <c r="I130" s="542">
        <f t="shared" si="21"/>
        <v>17388.719406932636</v>
      </c>
      <c r="J130" s="478">
        <f t="shared" si="12"/>
        <v>0</v>
      </c>
      <c r="K130" s="478"/>
      <c r="L130" s="487"/>
      <c r="M130" s="478">
        <f t="shared" si="13"/>
        <v>0</v>
      </c>
      <c r="N130" s="487"/>
      <c r="O130" s="478">
        <f t="shared" si="14"/>
        <v>0</v>
      </c>
      <c r="P130" s="478">
        <f t="shared" si="15"/>
        <v>0</v>
      </c>
    </row>
    <row r="131" spans="2:16">
      <c r="B131" s="160" t="str">
        <f t="shared" si="16"/>
        <v/>
      </c>
      <c r="C131" s="472">
        <f>IF(D93="","-",+C130+1)</f>
        <v>2049</v>
      </c>
      <c r="D131" s="347">
        <f>IF(F130+SUM(E$99:E130)=D$92,F130,D$92-SUM(E$99:E130))</f>
        <v>77857</v>
      </c>
      <c r="E131" s="484">
        <f t="shared" si="17"/>
        <v>8070</v>
      </c>
      <c r="F131" s="485">
        <f t="shared" si="18"/>
        <v>69787</v>
      </c>
      <c r="G131" s="485">
        <f t="shared" si="19"/>
        <v>73822</v>
      </c>
      <c r="H131" s="486">
        <f t="shared" si="20"/>
        <v>16470.411567168721</v>
      </c>
      <c r="I131" s="542">
        <f t="shared" si="21"/>
        <v>16470.411567168721</v>
      </c>
      <c r="J131" s="478">
        <f t="shared" ref="J131:J154" si="22">+I541-H541</f>
        <v>0</v>
      </c>
      <c r="K131" s="478"/>
      <c r="L131" s="487"/>
      <c r="M131" s="478">
        <f t="shared" ref="M131:M154" si="23">IF(L541&lt;&gt;0,+H541-L541,0)</f>
        <v>0</v>
      </c>
      <c r="N131" s="487"/>
      <c r="O131" s="478">
        <f t="shared" ref="O131:O154" si="24">IF(N541&lt;&gt;0,+I541-N541,0)</f>
        <v>0</v>
      </c>
      <c r="P131" s="478">
        <f t="shared" ref="P131:P154" si="25">+O541-M541</f>
        <v>0</v>
      </c>
    </row>
    <row r="132" spans="2:16">
      <c r="B132" s="160" t="str">
        <f t="shared" si="16"/>
        <v/>
      </c>
      <c r="C132" s="472">
        <f>IF(D93="","-",+C131+1)</f>
        <v>2050</v>
      </c>
      <c r="D132" s="347">
        <f>IF(F131+SUM(E$99:E131)=D$92,F131,D$92-SUM(E$99:E131))</f>
        <v>69787</v>
      </c>
      <c r="E132" s="484">
        <f t="shared" si="17"/>
        <v>8070</v>
      </c>
      <c r="F132" s="485">
        <f t="shared" si="18"/>
        <v>61717</v>
      </c>
      <c r="G132" s="485">
        <f t="shared" si="19"/>
        <v>65752</v>
      </c>
      <c r="H132" s="486">
        <f t="shared" si="20"/>
        <v>15552.103727404809</v>
      </c>
      <c r="I132" s="542">
        <f t="shared" si="21"/>
        <v>15552.103727404809</v>
      </c>
      <c r="J132" s="478">
        <f t="shared" si="22"/>
        <v>0</v>
      </c>
      <c r="K132" s="478"/>
      <c r="L132" s="487"/>
      <c r="M132" s="478">
        <f t="shared" si="23"/>
        <v>0</v>
      </c>
      <c r="N132" s="487"/>
      <c r="O132" s="478">
        <f t="shared" si="24"/>
        <v>0</v>
      </c>
      <c r="P132" s="478">
        <f t="shared" si="25"/>
        <v>0</v>
      </c>
    </row>
    <row r="133" spans="2:16">
      <c r="B133" s="160" t="str">
        <f t="shared" si="16"/>
        <v/>
      </c>
      <c r="C133" s="472">
        <f>IF(D93="","-",+C132+1)</f>
        <v>2051</v>
      </c>
      <c r="D133" s="347">
        <f>IF(F132+SUM(E$99:E132)=D$92,F132,D$92-SUM(E$99:E132))</f>
        <v>61717</v>
      </c>
      <c r="E133" s="484">
        <f t="shared" si="17"/>
        <v>8070</v>
      </c>
      <c r="F133" s="485">
        <f t="shared" si="18"/>
        <v>53647</v>
      </c>
      <c r="G133" s="485">
        <f t="shared" si="19"/>
        <v>57682</v>
      </c>
      <c r="H133" s="486">
        <f t="shared" si="20"/>
        <v>14633.795887640896</v>
      </c>
      <c r="I133" s="542">
        <f t="shared" si="21"/>
        <v>14633.795887640896</v>
      </c>
      <c r="J133" s="478">
        <f t="shared" si="22"/>
        <v>0</v>
      </c>
      <c r="K133" s="478"/>
      <c r="L133" s="487"/>
      <c r="M133" s="478">
        <f t="shared" si="23"/>
        <v>0</v>
      </c>
      <c r="N133" s="487"/>
      <c r="O133" s="478">
        <f t="shared" si="24"/>
        <v>0</v>
      </c>
      <c r="P133" s="478">
        <f t="shared" si="25"/>
        <v>0</v>
      </c>
    </row>
    <row r="134" spans="2:16">
      <c r="B134" s="160" t="str">
        <f t="shared" si="16"/>
        <v/>
      </c>
      <c r="C134" s="472">
        <f>IF(D93="","-",+C133+1)</f>
        <v>2052</v>
      </c>
      <c r="D134" s="347">
        <f>IF(F133+SUM(E$99:E133)=D$92,F133,D$92-SUM(E$99:E133))</f>
        <v>53647</v>
      </c>
      <c r="E134" s="484">
        <f t="shared" si="17"/>
        <v>8070</v>
      </c>
      <c r="F134" s="485">
        <f t="shared" si="18"/>
        <v>45577</v>
      </c>
      <c r="G134" s="485">
        <f t="shared" si="19"/>
        <v>49612</v>
      </c>
      <c r="H134" s="486">
        <f t="shared" si="20"/>
        <v>13715.488047876983</v>
      </c>
      <c r="I134" s="542">
        <f t="shared" si="21"/>
        <v>13715.488047876983</v>
      </c>
      <c r="J134" s="478">
        <f t="shared" si="22"/>
        <v>0</v>
      </c>
      <c r="K134" s="478"/>
      <c r="L134" s="487"/>
      <c r="M134" s="478">
        <f t="shared" si="23"/>
        <v>0</v>
      </c>
      <c r="N134" s="487"/>
      <c r="O134" s="478">
        <f t="shared" si="24"/>
        <v>0</v>
      </c>
      <c r="P134" s="478">
        <f t="shared" si="25"/>
        <v>0</v>
      </c>
    </row>
    <row r="135" spans="2:16">
      <c r="B135" s="160" t="str">
        <f t="shared" si="16"/>
        <v/>
      </c>
      <c r="C135" s="472">
        <f>IF(D93="","-",+C134+1)</f>
        <v>2053</v>
      </c>
      <c r="D135" s="347">
        <f>IF(F134+SUM(E$99:E134)=D$92,F134,D$92-SUM(E$99:E134))</f>
        <v>45577</v>
      </c>
      <c r="E135" s="484">
        <f t="shared" si="17"/>
        <v>8070</v>
      </c>
      <c r="F135" s="485">
        <f t="shared" si="18"/>
        <v>37507</v>
      </c>
      <c r="G135" s="485">
        <f t="shared" si="19"/>
        <v>41542</v>
      </c>
      <c r="H135" s="486">
        <f t="shared" si="20"/>
        <v>12797.18020811307</v>
      </c>
      <c r="I135" s="542">
        <f t="shared" si="21"/>
        <v>12797.18020811307</v>
      </c>
      <c r="J135" s="478">
        <f t="shared" si="22"/>
        <v>0</v>
      </c>
      <c r="K135" s="478"/>
      <c r="L135" s="487"/>
      <c r="M135" s="478">
        <f t="shared" si="23"/>
        <v>0</v>
      </c>
      <c r="N135" s="487"/>
      <c r="O135" s="478">
        <f t="shared" si="24"/>
        <v>0</v>
      </c>
      <c r="P135" s="478">
        <f t="shared" si="25"/>
        <v>0</v>
      </c>
    </row>
    <row r="136" spans="2:16">
      <c r="B136" s="160" t="str">
        <f t="shared" si="16"/>
        <v/>
      </c>
      <c r="C136" s="472">
        <f>IF(D93="","-",+C135+1)</f>
        <v>2054</v>
      </c>
      <c r="D136" s="347">
        <f>IF(F135+SUM(E$99:E135)=D$92,F135,D$92-SUM(E$99:E135))</f>
        <v>37507</v>
      </c>
      <c r="E136" s="484">
        <f t="shared" si="17"/>
        <v>8070</v>
      </c>
      <c r="F136" s="485">
        <f t="shared" si="18"/>
        <v>29437</v>
      </c>
      <c r="G136" s="485">
        <f t="shared" si="19"/>
        <v>33472</v>
      </c>
      <c r="H136" s="486">
        <f t="shared" si="20"/>
        <v>11878.872368349157</v>
      </c>
      <c r="I136" s="542">
        <f t="shared" si="21"/>
        <v>11878.872368349157</v>
      </c>
      <c r="J136" s="478">
        <f t="shared" si="22"/>
        <v>0</v>
      </c>
      <c r="K136" s="478"/>
      <c r="L136" s="487"/>
      <c r="M136" s="478">
        <f t="shared" si="23"/>
        <v>0</v>
      </c>
      <c r="N136" s="487"/>
      <c r="O136" s="478">
        <f t="shared" si="24"/>
        <v>0</v>
      </c>
      <c r="P136" s="478">
        <f t="shared" si="25"/>
        <v>0</v>
      </c>
    </row>
    <row r="137" spans="2:16">
      <c r="B137" s="160" t="str">
        <f t="shared" si="16"/>
        <v/>
      </c>
      <c r="C137" s="472">
        <f>IF(D93="","-",+C136+1)</f>
        <v>2055</v>
      </c>
      <c r="D137" s="347">
        <f>IF(F136+SUM(E$99:E136)=D$92,F136,D$92-SUM(E$99:E136))</f>
        <v>29437</v>
      </c>
      <c r="E137" s="484">
        <f t="shared" si="17"/>
        <v>8070</v>
      </c>
      <c r="F137" s="485">
        <f t="shared" si="18"/>
        <v>21367</v>
      </c>
      <c r="G137" s="485">
        <f t="shared" si="19"/>
        <v>25402</v>
      </c>
      <c r="H137" s="486">
        <f t="shared" si="20"/>
        <v>10960.564528585244</v>
      </c>
      <c r="I137" s="542">
        <f t="shared" si="21"/>
        <v>10960.564528585244</v>
      </c>
      <c r="J137" s="478">
        <f t="shared" si="22"/>
        <v>0</v>
      </c>
      <c r="K137" s="478"/>
      <c r="L137" s="487"/>
      <c r="M137" s="478">
        <f t="shared" si="23"/>
        <v>0</v>
      </c>
      <c r="N137" s="487"/>
      <c r="O137" s="478">
        <f t="shared" si="24"/>
        <v>0</v>
      </c>
      <c r="P137" s="478">
        <f t="shared" si="25"/>
        <v>0</v>
      </c>
    </row>
    <row r="138" spans="2:16">
      <c r="B138" s="160" t="str">
        <f t="shared" si="16"/>
        <v/>
      </c>
      <c r="C138" s="472">
        <f>IF(D93="","-",+C137+1)</f>
        <v>2056</v>
      </c>
      <c r="D138" s="347">
        <f>IF(F137+SUM(E$99:E137)=D$92,F137,D$92-SUM(E$99:E137))</f>
        <v>21367</v>
      </c>
      <c r="E138" s="484">
        <f t="shared" si="17"/>
        <v>8070</v>
      </c>
      <c r="F138" s="485">
        <f t="shared" si="18"/>
        <v>13297</v>
      </c>
      <c r="G138" s="485">
        <f t="shared" si="19"/>
        <v>17332</v>
      </c>
      <c r="H138" s="486">
        <f t="shared" si="20"/>
        <v>10042.256688821331</v>
      </c>
      <c r="I138" s="542">
        <f t="shared" si="21"/>
        <v>10042.256688821331</v>
      </c>
      <c r="J138" s="478">
        <f t="shared" si="22"/>
        <v>0</v>
      </c>
      <c r="K138" s="478"/>
      <c r="L138" s="487"/>
      <c r="M138" s="478">
        <f t="shared" si="23"/>
        <v>0</v>
      </c>
      <c r="N138" s="487"/>
      <c r="O138" s="478">
        <f t="shared" si="24"/>
        <v>0</v>
      </c>
      <c r="P138" s="478">
        <f t="shared" si="25"/>
        <v>0</v>
      </c>
    </row>
    <row r="139" spans="2:16">
      <c r="B139" s="160" t="str">
        <f t="shared" si="16"/>
        <v/>
      </c>
      <c r="C139" s="472">
        <f>IF(D93="","-",+C138+1)</f>
        <v>2057</v>
      </c>
      <c r="D139" s="347">
        <f>IF(F138+SUM(E$99:E138)=D$92,F138,D$92-SUM(E$99:E138))</f>
        <v>13297</v>
      </c>
      <c r="E139" s="484">
        <f t="shared" si="17"/>
        <v>8070</v>
      </c>
      <c r="F139" s="485">
        <f t="shared" si="18"/>
        <v>5227</v>
      </c>
      <c r="G139" s="485">
        <f t="shared" si="19"/>
        <v>9262</v>
      </c>
      <c r="H139" s="486">
        <f t="shared" si="20"/>
        <v>9123.9488490574186</v>
      </c>
      <c r="I139" s="542">
        <f t="shared" si="21"/>
        <v>9123.9488490574186</v>
      </c>
      <c r="J139" s="478">
        <f t="shared" si="22"/>
        <v>0</v>
      </c>
      <c r="K139" s="478"/>
      <c r="L139" s="487"/>
      <c r="M139" s="478">
        <f t="shared" si="23"/>
        <v>0</v>
      </c>
      <c r="N139" s="487"/>
      <c r="O139" s="478">
        <f t="shared" si="24"/>
        <v>0</v>
      </c>
      <c r="P139" s="478">
        <f t="shared" si="25"/>
        <v>0</v>
      </c>
    </row>
    <row r="140" spans="2:16">
      <c r="B140" s="160" t="str">
        <f t="shared" si="16"/>
        <v/>
      </c>
      <c r="C140" s="472">
        <f>IF(D93="","-",+C139+1)</f>
        <v>2058</v>
      </c>
      <c r="D140" s="347">
        <f>IF(F139+SUM(E$99:E139)=D$92,F139,D$92-SUM(E$99:E139))</f>
        <v>5227</v>
      </c>
      <c r="E140" s="484">
        <f t="shared" si="17"/>
        <v>5227</v>
      </c>
      <c r="F140" s="485">
        <f t="shared" si="18"/>
        <v>0</v>
      </c>
      <c r="G140" s="485">
        <f t="shared" si="19"/>
        <v>2613.5</v>
      </c>
      <c r="H140" s="486">
        <f t="shared" si="20"/>
        <v>5524.3974645877306</v>
      </c>
      <c r="I140" s="542">
        <f t="shared" si="21"/>
        <v>5524.3974645877306</v>
      </c>
      <c r="J140" s="478">
        <f t="shared" si="22"/>
        <v>0</v>
      </c>
      <c r="K140" s="478"/>
      <c r="L140" s="487"/>
      <c r="M140" s="478">
        <f t="shared" si="23"/>
        <v>0</v>
      </c>
      <c r="N140" s="487"/>
      <c r="O140" s="478">
        <f t="shared" si="24"/>
        <v>0</v>
      </c>
      <c r="P140" s="478">
        <f t="shared" si="25"/>
        <v>0</v>
      </c>
    </row>
    <row r="141" spans="2:16">
      <c r="B141" s="160" t="str">
        <f t="shared" si="16"/>
        <v/>
      </c>
      <c r="C141" s="472">
        <f>IF(D93="","-",+C140+1)</f>
        <v>2059</v>
      </c>
      <c r="D141" s="347">
        <f>IF(F140+SUM(E$99:E140)=D$92,F140,D$92-SUM(E$99:E140))</f>
        <v>0</v>
      </c>
      <c r="E141" s="484">
        <f t="shared" si="17"/>
        <v>0</v>
      </c>
      <c r="F141" s="485">
        <f t="shared" si="18"/>
        <v>0</v>
      </c>
      <c r="G141" s="485">
        <f t="shared" si="19"/>
        <v>0</v>
      </c>
      <c r="H141" s="486">
        <f t="shared" si="20"/>
        <v>0</v>
      </c>
      <c r="I141" s="542">
        <f t="shared" si="21"/>
        <v>0</v>
      </c>
      <c r="J141" s="478">
        <f t="shared" si="22"/>
        <v>0</v>
      </c>
      <c r="K141" s="478"/>
      <c r="L141" s="487"/>
      <c r="M141" s="478">
        <f t="shared" si="23"/>
        <v>0</v>
      </c>
      <c r="N141" s="487"/>
      <c r="O141" s="478">
        <f t="shared" si="24"/>
        <v>0</v>
      </c>
      <c r="P141" s="478">
        <f t="shared" si="25"/>
        <v>0</v>
      </c>
    </row>
    <row r="142" spans="2:16">
      <c r="B142" s="160" t="str">
        <f t="shared" si="16"/>
        <v/>
      </c>
      <c r="C142" s="472">
        <f>IF(D93="","-",+C141+1)</f>
        <v>2060</v>
      </c>
      <c r="D142" s="347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486">
        <f t="shared" si="20"/>
        <v>0</v>
      </c>
      <c r="I142" s="542">
        <f t="shared" si="21"/>
        <v>0</v>
      </c>
      <c r="J142" s="478">
        <f t="shared" si="22"/>
        <v>0</v>
      </c>
      <c r="K142" s="478"/>
      <c r="L142" s="487"/>
      <c r="M142" s="478">
        <f t="shared" si="23"/>
        <v>0</v>
      </c>
      <c r="N142" s="487"/>
      <c r="O142" s="478">
        <f t="shared" si="24"/>
        <v>0</v>
      </c>
      <c r="P142" s="478">
        <f t="shared" si="25"/>
        <v>0</v>
      </c>
    </row>
    <row r="143" spans="2:16">
      <c r="B143" s="160" t="str">
        <f t="shared" si="16"/>
        <v/>
      </c>
      <c r="C143" s="472">
        <f>IF(D93="","-",+C142+1)</f>
        <v>2061</v>
      </c>
      <c r="D143" s="347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486">
        <f t="shared" si="20"/>
        <v>0</v>
      </c>
      <c r="I143" s="542">
        <f t="shared" si="21"/>
        <v>0</v>
      </c>
      <c r="J143" s="478">
        <f t="shared" si="22"/>
        <v>0</v>
      </c>
      <c r="K143" s="478"/>
      <c r="L143" s="487"/>
      <c r="M143" s="478">
        <f t="shared" si="23"/>
        <v>0</v>
      </c>
      <c r="N143" s="487"/>
      <c r="O143" s="478">
        <f t="shared" si="24"/>
        <v>0</v>
      </c>
      <c r="P143" s="478">
        <f t="shared" si="25"/>
        <v>0</v>
      </c>
    </row>
    <row r="144" spans="2:16">
      <c r="B144" s="160" t="str">
        <f t="shared" si="16"/>
        <v/>
      </c>
      <c r="C144" s="472">
        <f>IF(D93="","-",+C143+1)</f>
        <v>2062</v>
      </c>
      <c r="D144" s="347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486">
        <f t="shared" si="20"/>
        <v>0</v>
      </c>
      <c r="I144" s="542">
        <f t="shared" si="21"/>
        <v>0</v>
      </c>
      <c r="J144" s="478">
        <f t="shared" si="22"/>
        <v>0</v>
      </c>
      <c r="K144" s="478"/>
      <c r="L144" s="487"/>
      <c r="M144" s="478">
        <f t="shared" si="23"/>
        <v>0</v>
      </c>
      <c r="N144" s="487"/>
      <c r="O144" s="478">
        <f t="shared" si="24"/>
        <v>0</v>
      </c>
      <c r="P144" s="478">
        <f t="shared" si="25"/>
        <v>0</v>
      </c>
    </row>
    <row r="145" spans="2:16">
      <c r="B145" s="160" t="str">
        <f t="shared" si="16"/>
        <v/>
      </c>
      <c r="C145" s="472">
        <f>IF(D93="","-",+C144+1)</f>
        <v>2063</v>
      </c>
      <c r="D145" s="347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486">
        <f t="shared" si="20"/>
        <v>0</v>
      </c>
      <c r="I145" s="542">
        <f t="shared" si="21"/>
        <v>0</v>
      </c>
      <c r="J145" s="478">
        <f t="shared" si="22"/>
        <v>0</v>
      </c>
      <c r="K145" s="478"/>
      <c r="L145" s="487"/>
      <c r="M145" s="478">
        <f t="shared" si="23"/>
        <v>0</v>
      </c>
      <c r="N145" s="487"/>
      <c r="O145" s="478">
        <f t="shared" si="24"/>
        <v>0</v>
      </c>
      <c r="P145" s="478">
        <f t="shared" si="25"/>
        <v>0</v>
      </c>
    </row>
    <row r="146" spans="2:16">
      <c r="B146" s="160" t="str">
        <f t="shared" si="16"/>
        <v/>
      </c>
      <c r="C146" s="472">
        <f>IF(D93="","-",+C145+1)</f>
        <v>2064</v>
      </c>
      <c r="D146" s="347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486">
        <f t="shared" si="20"/>
        <v>0</v>
      </c>
      <c r="I146" s="542">
        <f t="shared" si="21"/>
        <v>0</v>
      </c>
      <c r="J146" s="478">
        <f t="shared" si="22"/>
        <v>0</v>
      </c>
      <c r="K146" s="478"/>
      <c r="L146" s="487"/>
      <c r="M146" s="478">
        <f t="shared" si="23"/>
        <v>0</v>
      </c>
      <c r="N146" s="487"/>
      <c r="O146" s="478">
        <f t="shared" si="24"/>
        <v>0</v>
      </c>
      <c r="P146" s="478">
        <f t="shared" si="25"/>
        <v>0</v>
      </c>
    </row>
    <row r="147" spans="2:16">
      <c r="B147" s="160" t="str">
        <f t="shared" si="16"/>
        <v/>
      </c>
      <c r="C147" s="472">
        <f>IF(D93="","-",+C146+1)</f>
        <v>2065</v>
      </c>
      <c r="D147" s="347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486">
        <f t="shared" si="20"/>
        <v>0</v>
      </c>
      <c r="I147" s="542">
        <f t="shared" si="21"/>
        <v>0</v>
      </c>
      <c r="J147" s="478">
        <f t="shared" si="22"/>
        <v>0</v>
      </c>
      <c r="K147" s="478"/>
      <c r="L147" s="487"/>
      <c r="M147" s="478">
        <f t="shared" si="23"/>
        <v>0</v>
      </c>
      <c r="N147" s="487"/>
      <c r="O147" s="478">
        <f t="shared" si="24"/>
        <v>0</v>
      </c>
      <c r="P147" s="478">
        <f t="shared" si="25"/>
        <v>0</v>
      </c>
    </row>
    <row r="148" spans="2:16">
      <c r="B148" s="160" t="str">
        <f t="shared" si="16"/>
        <v/>
      </c>
      <c r="C148" s="472">
        <f>IF(D93="","-",+C147+1)</f>
        <v>2066</v>
      </c>
      <c r="D148" s="347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486">
        <f t="shared" si="20"/>
        <v>0</v>
      </c>
      <c r="I148" s="542">
        <f t="shared" si="21"/>
        <v>0</v>
      </c>
      <c r="J148" s="478">
        <f t="shared" si="22"/>
        <v>0</v>
      </c>
      <c r="K148" s="478"/>
      <c r="L148" s="487"/>
      <c r="M148" s="478">
        <f t="shared" si="23"/>
        <v>0</v>
      </c>
      <c r="N148" s="487"/>
      <c r="O148" s="478">
        <f t="shared" si="24"/>
        <v>0</v>
      </c>
      <c r="P148" s="478">
        <f t="shared" si="25"/>
        <v>0</v>
      </c>
    </row>
    <row r="149" spans="2:16">
      <c r="B149" s="160" t="str">
        <f t="shared" si="16"/>
        <v/>
      </c>
      <c r="C149" s="472">
        <f>IF(D93="","-",+C148+1)</f>
        <v>2067</v>
      </c>
      <c r="D149" s="347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486">
        <f t="shared" si="20"/>
        <v>0</v>
      </c>
      <c r="I149" s="542">
        <f t="shared" si="21"/>
        <v>0</v>
      </c>
      <c r="J149" s="478">
        <f t="shared" si="22"/>
        <v>0</v>
      </c>
      <c r="K149" s="478"/>
      <c r="L149" s="487"/>
      <c r="M149" s="478">
        <f t="shared" si="23"/>
        <v>0</v>
      </c>
      <c r="N149" s="487"/>
      <c r="O149" s="478">
        <f t="shared" si="24"/>
        <v>0</v>
      </c>
      <c r="P149" s="478">
        <f t="shared" si="25"/>
        <v>0</v>
      </c>
    </row>
    <row r="150" spans="2:16">
      <c r="B150" s="160" t="str">
        <f t="shared" si="16"/>
        <v/>
      </c>
      <c r="C150" s="472">
        <f>IF(D93="","-",+C149+1)</f>
        <v>2068</v>
      </c>
      <c r="D150" s="347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486">
        <f t="shared" si="20"/>
        <v>0</v>
      </c>
      <c r="I150" s="542">
        <f t="shared" si="21"/>
        <v>0</v>
      </c>
      <c r="J150" s="478">
        <f t="shared" si="22"/>
        <v>0</v>
      </c>
      <c r="K150" s="478"/>
      <c r="L150" s="487"/>
      <c r="M150" s="478">
        <f t="shared" si="23"/>
        <v>0</v>
      </c>
      <c r="N150" s="487"/>
      <c r="O150" s="478">
        <f t="shared" si="24"/>
        <v>0</v>
      </c>
      <c r="P150" s="478">
        <f t="shared" si="25"/>
        <v>0</v>
      </c>
    </row>
    <row r="151" spans="2:16">
      <c r="B151" s="160" t="str">
        <f t="shared" si="16"/>
        <v/>
      </c>
      <c r="C151" s="472">
        <f>IF(D93="","-",+C150+1)</f>
        <v>2069</v>
      </c>
      <c r="D151" s="347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486">
        <f t="shared" si="20"/>
        <v>0</v>
      </c>
      <c r="I151" s="542">
        <f t="shared" si="21"/>
        <v>0</v>
      </c>
      <c r="J151" s="478">
        <f t="shared" si="22"/>
        <v>0</v>
      </c>
      <c r="K151" s="478"/>
      <c r="L151" s="487"/>
      <c r="M151" s="478">
        <f t="shared" si="23"/>
        <v>0</v>
      </c>
      <c r="N151" s="487"/>
      <c r="O151" s="478">
        <f t="shared" si="24"/>
        <v>0</v>
      </c>
      <c r="P151" s="478">
        <f t="shared" si="25"/>
        <v>0</v>
      </c>
    </row>
    <row r="152" spans="2:16">
      <c r="B152" s="160" t="str">
        <f t="shared" si="16"/>
        <v/>
      </c>
      <c r="C152" s="472">
        <f>IF(D93="","-",+C151+1)</f>
        <v>2070</v>
      </c>
      <c r="D152" s="347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486">
        <f t="shared" si="20"/>
        <v>0</v>
      </c>
      <c r="I152" s="542">
        <f t="shared" si="21"/>
        <v>0</v>
      </c>
      <c r="J152" s="478">
        <f t="shared" si="22"/>
        <v>0</v>
      </c>
      <c r="K152" s="478"/>
      <c r="L152" s="487"/>
      <c r="M152" s="478">
        <f t="shared" si="23"/>
        <v>0</v>
      </c>
      <c r="N152" s="487"/>
      <c r="O152" s="478">
        <f t="shared" si="24"/>
        <v>0</v>
      </c>
      <c r="P152" s="478">
        <f t="shared" si="25"/>
        <v>0</v>
      </c>
    </row>
    <row r="153" spans="2:16">
      <c r="B153" s="160" t="str">
        <f t="shared" si="16"/>
        <v/>
      </c>
      <c r="C153" s="472">
        <f>IF(D93="","-",+C152+1)</f>
        <v>2071</v>
      </c>
      <c r="D153" s="347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486">
        <f t="shared" si="20"/>
        <v>0</v>
      </c>
      <c r="I153" s="542">
        <f t="shared" si="21"/>
        <v>0</v>
      </c>
      <c r="J153" s="478">
        <f t="shared" si="22"/>
        <v>0</v>
      </c>
      <c r="K153" s="478"/>
      <c r="L153" s="487"/>
      <c r="M153" s="478">
        <f t="shared" si="23"/>
        <v>0</v>
      </c>
      <c r="N153" s="487"/>
      <c r="O153" s="478">
        <f t="shared" si="24"/>
        <v>0</v>
      </c>
      <c r="P153" s="478">
        <f t="shared" si="25"/>
        <v>0</v>
      </c>
    </row>
    <row r="154" spans="2:16" ht="13.5" thickBot="1">
      <c r="B154" s="160" t="str">
        <f t="shared" si="16"/>
        <v/>
      </c>
      <c r="C154" s="489">
        <f>IF(D93="","-",+C153+1)</f>
        <v>2072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3">
        <f t="shared" ref="H154" si="26">+J$94*G154+E154</f>
        <v>0</v>
      </c>
      <c r="I154" s="614">
        <f t="shared" ref="I154" si="27">+J$95*G154+E154</f>
        <v>0</v>
      </c>
      <c r="J154" s="495">
        <f t="shared" si="22"/>
        <v>0</v>
      </c>
      <c r="K154" s="478"/>
      <c r="L154" s="494"/>
      <c r="M154" s="495">
        <f t="shared" si="23"/>
        <v>0</v>
      </c>
      <c r="N154" s="494"/>
      <c r="O154" s="495">
        <f t="shared" si="24"/>
        <v>0</v>
      </c>
      <c r="P154" s="495">
        <f t="shared" si="25"/>
        <v>0</v>
      </c>
    </row>
    <row r="155" spans="2:16">
      <c r="C155" s="347" t="s">
        <v>77</v>
      </c>
      <c r="D155" s="348"/>
      <c r="E155" s="348">
        <f>SUM(E99:E154)</f>
        <v>330872</v>
      </c>
      <c r="F155" s="348"/>
      <c r="G155" s="348"/>
      <c r="H155" s="348">
        <f>SUM(H99:H154)</f>
        <v>1103746.2975352481</v>
      </c>
      <c r="I155" s="348">
        <f>SUM(I99:I154)</f>
        <v>1103746.2975352481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19" priority="1" stopIfTrue="1" operator="equal">
      <formula>$I$10</formula>
    </cfRule>
  </conditionalFormatting>
  <conditionalFormatting sqref="C99:C154">
    <cfRule type="cellIs" dxfId="18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71"/>
  <dimension ref="A1:P162"/>
  <sheetViews>
    <sheetView zoomScaleNormal="100" zoomScaleSheetLayoutView="78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22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30100.568065113996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30100.568065113996</v>
      </c>
      <c r="O6" s="233"/>
      <c r="P6" s="233"/>
    </row>
    <row r="7" spans="1:16" ht="13.5" thickBot="1">
      <c r="C7" s="431" t="s">
        <v>46</v>
      </c>
      <c r="D7" s="599" t="s">
        <v>280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302</v>
      </c>
      <c r="E9" s="577" t="s">
        <v>303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244000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5674.4186046511632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2018</v>
      </c>
      <c r="D17" s="584">
        <v>0</v>
      </c>
      <c r="E17" s="608">
        <v>2711.1111111111113</v>
      </c>
      <c r="F17" s="584">
        <v>241288.88888888888</v>
      </c>
      <c r="G17" s="608">
        <v>19038.576480221469</v>
      </c>
      <c r="H17" s="587">
        <v>19038.576480221469</v>
      </c>
      <c r="I17" s="475">
        <f t="shared" ref="I17:I72" si="0">H17-G17</f>
        <v>0</v>
      </c>
      <c r="J17" s="475"/>
      <c r="K17" s="554">
        <f>+G17</f>
        <v>19038.576480221469</v>
      </c>
      <c r="L17" s="477">
        <f t="shared" ref="L17:L72" si="1">IF(K17&lt;&gt;0,+G17-K17,0)</f>
        <v>0</v>
      </c>
      <c r="M17" s="554">
        <f>+H17</f>
        <v>19038.576480221469</v>
      </c>
      <c r="N17" s="477">
        <f t="shared" ref="N17:N72" si="2">IF(M17&lt;&gt;0,+H17-M17,0)</f>
        <v>0</v>
      </c>
      <c r="O17" s="478">
        <f t="shared" ref="O17:O72" si="3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2019</v>
      </c>
      <c r="D18" s="584">
        <v>241288.88888888888</v>
      </c>
      <c r="E18" s="585">
        <v>5422.2222222222226</v>
      </c>
      <c r="F18" s="584">
        <v>235866.66666666666</v>
      </c>
      <c r="G18" s="585">
        <v>37710.243626305615</v>
      </c>
      <c r="H18" s="587">
        <v>37710.243626305615</v>
      </c>
      <c r="I18" s="475">
        <f t="shared" si="0"/>
        <v>0</v>
      </c>
      <c r="J18" s="475"/>
      <c r="K18" s="478">
        <f>+G18</f>
        <v>37710.243626305615</v>
      </c>
      <c r="L18" s="478">
        <f t="shared" si="1"/>
        <v>0</v>
      </c>
      <c r="M18" s="478">
        <f>+H18</f>
        <v>37710.243626305615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/>
      </c>
      <c r="C19" s="472">
        <f>IF(D11="","-",+C18+1)</f>
        <v>2020</v>
      </c>
      <c r="D19" s="584">
        <v>235866.66666666666</v>
      </c>
      <c r="E19" s="585">
        <v>5809.5238095238092</v>
      </c>
      <c r="F19" s="584">
        <v>230057.14285714284</v>
      </c>
      <c r="G19" s="585">
        <v>30970.52236185109</v>
      </c>
      <c r="H19" s="587">
        <v>30970.52236185109</v>
      </c>
      <c r="I19" s="475">
        <f t="shared" si="0"/>
        <v>0</v>
      </c>
      <c r="J19" s="475"/>
      <c r="K19" s="478">
        <f>+G19</f>
        <v>30970.52236185109</v>
      </c>
      <c r="L19" s="478">
        <f t="shared" ref="L19" si="4">IF(K19&lt;&gt;0,+G19-K19,0)</f>
        <v>0</v>
      </c>
      <c r="M19" s="478">
        <f>+H19</f>
        <v>30970.52236185109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5">IF(D20=F19,"","IU")</f>
        <v>IU</v>
      </c>
      <c r="C20" s="472">
        <f>IF(D11="","-",+C19+1)</f>
        <v>2021</v>
      </c>
      <c r="D20" s="584">
        <v>229379.36507936509</v>
      </c>
      <c r="E20" s="585">
        <v>5674.4186046511632</v>
      </c>
      <c r="F20" s="584">
        <v>223704.94647471391</v>
      </c>
      <c r="G20" s="585">
        <v>30100.568065113996</v>
      </c>
      <c r="H20" s="587">
        <v>30100.568065113996</v>
      </c>
      <c r="I20" s="475">
        <f t="shared" si="0"/>
        <v>0</v>
      </c>
      <c r="J20" s="475"/>
      <c r="K20" s="478">
        <f>+G20</f>
        <v>30100.568065113996</v>
      </c>
      <c r="L20" s="478">
        <f t="shared" ref="L20" si="6">IF(K20&lt;&gt;0,+G20-K20,0)</f>
        <v>0</v>
      </c>
      <c r="M20" s="478">
        <f>+H20</f>
        <v>30100.568065113996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5"/>
        <v>IU</v>
      </c>
      <c r="C21" s="472">
        <f>IF(D11="","-",+C20+1)</f>
        <v>2022</v>
      </c>
      <c r="D21" s="483">
        <f>IF(F20+SUM(E$17:E20)=D$10,F20,D$10-SUM(E$17:E20))</f>
        <v>224382.72425249169</v>
      </c>
      <c r="E21" s="484">
        <f t="shared" ref="E21:E72" si="7">IF(+I$14&lt;F20,I$14,D21)</f>
        <v>5674.4186046511632</v>
      </c>
      <c r="F21" s="485">
        <f t="shared" ref="F21:F72" si="8">+D21-E21</f>
        <v>218708.30564784052</v>
      </c>
      <c r="G21" s="486">
        <f t="shared" ref="G21:G72" si="9">(D21+F21)/2*I$12+E21</f>
        <v>31164.633647402043</v>
      </c>
      <c r="H21" s="455">
        <f t="shared" ref="H21:H72" si="10">+(D21+F21)/2*I$13+E21</f>
        <v>31164.633647402043</v>
      </c>
      <c r="I21" s="475">
        <f t="shared" si="0"/>
        <v>0</v>
      </c>
      <c r="J21" s="475"/>
      <c r="K21" s="487"/>
      <c r="L21" s="478">
        <f t="shared" si="1"/>
        <v>0</v>
      </c>
      <c r="M21" s="487"/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218708.30564784052</v>
      </c>
      <c r="E22" s="484">
        <f t="shared" si="7"/>
        <v>5674.4186046511632</v>
      </c>
      <c r="F22" s="485">
        <f t="shared" si="8"/>
        <v>213033.88704318934</v>
      </c>
      <c r="G22" s="486">
        <f t="shared" si="9"/>
        <v>30511.755838037767</v>
      </c>
      <c r="H22" s="455">
        <f t="shared" si="10"/>
        <v>30511.755838037767</v>
      </c>
      <c r="I22" s="475">
        <f t="shared" si="0"/>
        <v>0</v>
      </c>
      <c r="J22" s="475"/>
      <c r="K22" s="487"/>
      <c r="L22" s="478">
        <f t="shared" si="1"/>
        <v>0</v>
      </c>
      <c r="M22" s="487"/>
      <c r="N22" s="478">
        <f t="shared" si="2"/>
        <v>0</v>
      </c>
      <c r="O22" s="478">
        <f t="shared" si="3"/>
        <v>0</v>
      </c>
      <c r="P22" s="243"/>
    </row>
    <row r="23" spans="2:16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213033.88704318934</v>
      </c>
      <c r="E23" s="484">
        <f t="shared" si="7"/>
        <v>5674.4186046511632</v>
      </c>
      <c r="F23" s="485">
        <f t="shared" si="8"/>
        <v>207359.46843853817</v>
      </c>
      <c r="G23" s="486">
        <f t="shared" si="9"/>
        <v>29858.878028673491</v>
      </c>
      <c r="H23" s="455">
        <f t="shared" si="10"/>
        <v>29858.878028673491</v>
      </c>
      <c r="I23" s="475">
        <f t="shared" si="0"/>
        <v>0</v>
      </c>
      <c r="J23" s="475"/>
      <c r="K23" s="487"/>
      <c r="L23" s="478">
        <f t="shared" si="1"/>
        <v>0</v>
      </c>
      <c r="M23" s="487"/>
      <c r="N23" s="478">
        <f t="shared" si="2"/>
        <v>0</v>
      </c>
      <c r="O23" s="478">
        <f t="shared" si="3"/>
        <v>0</v>
      </c>
      <c r="P23" s="243"/>
    </row>
    <row r="24" spans="2:16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207359.46843853817</v>
      </c>
      <c r="E24" s="484">
        <f t="shared" si="7"/>
        <v>5674.4186046511632</v>
      </c>
      <c r="F24" s="485">
        <f t="shared" si="8"/>
        <v>201685.04983388699</v>
      </c>
      <c r="G24" s="486">
        <f t="shared" si="9"/>
        <v>29206.000219309215</v>
      </c>
      <c r="H24" s="455">
        <f t="shared" si="10"/>
        <v>29206.000219309215</v>
      </c>
      <c r="I24" s="475">
        <f t="shared" si="0"/>
        <v>0</v>
      </c>
      <c r="J24" s="475"/>
      <c r="K24" s="487"/>
      <c r="L24" s="478">
        <f t="shared" si="1"/>
        <v>0</v>
      </c>
      <c r="M24" s="487"/>
      <c r="N24" s="478">
        <f t="shared" si="2"/>
        <v>0</v>
      </c>
      <c r="O24" s="478">
        <f t="shared" si="3"/>
        <v>0</v>
      </c>
      <c r="P24" s="243"/>
    </row>
    <row r="25" spans="2:16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201685.04983388699</v>
      </c>
      <c r="E25" s="484">
        <f t="shared" si="7"/>
        <v>5674.4186046511632</v>
      </c>
      <c r="F25" s="485">
        <f t="shared" si="8"/>
        <v>196010.63122923582</v>
      </c>
      <c r="G25" s="486">
        <f t="shared" si="9"/>
        <v>28553.122409944939</v>
      </c>
      <c r="H25" s="455">
        <f t="shared" si="10"/>
        <v>28553.122409944939</v>
      </c>
      <c r="I25" s="475">
        <f t="shared" si="0"/>
        <v>0</v>
      </c>
      <c r="J25" s="475"/>
      <c r="K25" s="487"/>
      <c r="L25" s="478">
        <f t="shared" si="1"/>
        <v>0</v>
      </c>
      <c r="M25" s="487"/>
      <c r="N25" s="478">
        <f t="shared" si="2"/>
        <v>0</v>
      </c>
      <c r="O25" s="478">
        <f t="shared" si="3"/>
        <v>0</v>
      </c>
      <c r="P25" s="243"/>
    </row>
    <row r="26" spans="2:16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196010.63122923582</v>
      </c>
      <c r="E26" s="484">
        <f t="shared" si="7"/>
        <v>5674.4186046511632</v>
      </c>
      <c r="F26" s="485">
        <f t="shared" si="8"/>
        <v>190336.21262458464</v>
      </c>
      <c r="G26" s="486">
        <f t="shared" si="9"/>
        <v>27900.244600580663</v>
      </c>
      <c r="H26" s="455">
        <f t="shared" si="10"/>
        <v>27900.244600580663</v>
      </c>
      <c r="I26" s="475">
        <f t="shared" si="0"/>
        <v>0</v>
      </c>
      <c r="J26" s="475"/>
      <c r="K26" s="487"/>
      <c r="L26" s="478">
        <f t="shared" si="1"/>
        <v>0</v>
      </c>
      <c r="M26" s="487"/>
      <c r="N26" s="478">
        <f t="shared" si="2"/>
        <v>0</v>
      </c>
      <c r="O26" s="478">
        <f t="shared" si="3"/>
        <v>0</v>
      </c>
      <c r="P26" s="243"/>
    </row>
    <row r="27" spans="2:16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190336.21262458464</v>
      </c>
      <c r="E27" s="484">
        <f t="shared" si="7"/>
        <v>5674.4186046511632</v>
      </c>
      <c r="F27" s="485">
        <f t="shared" si="8"/>
        <v>184661.79401993347</v>
      </c>
      <c r="G27" s="486">
        <f t="shared" si="9"/>
        <v>27247.366791216387</v>
      </c>
      <c r="H27" s="455">
        <f t="shared" si="10"/>
        <v>27247.366791216387</v>
      </c>
      <c r="I27" s="475">
        <f t="shared" si="0"/>
        <v>0</v>
      </c>
      <c r="J27" s="475"/>
      <c r="K27" s="487"/>
      <c r="L27" s="478">
        <f t="shared" si="1"/>
        <v>0</v>
      </c>
      <c r="M27" s="487"/>
      <c r="N27" s="478">
        <f t="shared" si="2"/>
        <v>0</v>
      </c>
      <c r="O27" s="478">
        <f t="shared" si="3"/>
        <v>0</v>
      </c>
      <c r="P27" s="243"/>
    </row>
    <row r="28" spans="2:16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184661.79401993347</v>
      </c>
      <c r="E28" s="484">
        <f t="shared" si="7"/>
        <v>5674.4186046511632</v>
      </c>
      <c r="F28" s="485">
        <f t="shared" si="8"/>
        <v>178987.37541528229</v>
      </c>
      <c r="G28" s="486">
        <f t="shared" si="9"/>
        <v>26594.488981852115</v>
      </c>
      <c r="H28" s="455">
        <f t="shared" si="10"/>
        <v>26594.488981852115</v>
      </c>
      <c r="I28" s="475">
        <f t="shared" si="0"/>
        <v>0</v>
      </c>
      <c r="J28" s="475"/>
      <c r="K28" s="487"/>
      <c r="L28" s="478">
        <f t="shared" si="1"/>
        <v>0</v>
      </c>
      <c r="M28" s="487"/>
      <c r="N28" s="478">
        <f t="shared" si="2"/>
        <v>0</v>
      </c>
      <c r="O28" s="478">
        <f t="shared" si="3"/>
        <v>0</v>
      </c>
      <c r="P28" s="243"/>
    </row>
    <row r="29" spans="2:16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178987.37541528229</v>
      </c>
      <c r="E29" s="484">
        <f t="shared" si="7"/>
        <v>5674.4186046511632</v>
      </c>
      <c r="F29" s="485">
        <f t="shared" si="8"/>
        <v>173312.95681063112</v>
      </c>
      <c r="G29" s="486">
        <f t="shared" si="9"/>
        <v>25941.611172487839</v>
      </c>
      <c r="H29" s="455">
        <f t="shared" si="10"/>
        <v>25941.611172487839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3"/>
    </row>
    <row r="30" spans="2:16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173312.95681063112</v>
      </c>
      <c r="E30" s="484">
        <f t="shared" si="7"/>
        <v>5674.4186046511632</v>
      </c>
      <c r="F30" s="485">
        <f t="shared" si="8"/>
        <v>167638.53820597994</v>
      </c>
      <c r="G30" s="486">
        <f t="shared" si="9"/>
        <v>25288.733363123563</v>
      </c>
      <c r="H30" s="455">
        <f t="shared" si="10"/>
        <v>25288.733363123563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167638.53820597994</v>
      </c>
      <c r="E31" s="484">
        <f t="shared" si="7"/>
        <v>5674.4186046511632</v>
      </c>
      <c r="F31" s="485">
        <f t="shared" si="8"/>
        <v>161964.11960132877</v>
      </c>
      <c r="G31" s="486">
        <f t="shared" si="9"/>
        <v>24635.855553759287</v>
      </c>
      <c r="H31" s="455">
        <f t="shared" si="10"/>
        <v>24635.855553759287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161964.11960132877</v>
      </c>
      <c r="E32" s="484">
        <f t="shared" si="7"/>
        <v>5674.4186046511632</v>
      </c>
      <c r="F32" s="485">
        <f t="shared" si="8"/>
        <v>156289.70099667759</v>
      </c>
      <c r="G32" s="486">
        <f t="shared" si="9"/>
        <v>23982.977744395012</v>
      </c>
      <c r="H32" s="455">
        <f t="shared" si="10"/>
        <v>23982.977744395012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156289.70099667759</v>
      </c>
      <c r="E33" s="484">
        <f t="shared" si="7"/>
        <v>5674.4186046511632</v>
      </c>
      <c r="F33" s="485">
        <f t="shared" si="8"/>
        <v>150615.28239202642</v>
      </c>
      <c r="G33" s="486">
        <f t="shared" si="9"/>
        <v>23330.099935030736</v>
      </c>
      <c r="H33" s="455">
        <f t="shared" si="10"/>
        <v>23330.099935030736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150615.28239202642</v>
      </c>
      <c r="E34" s="484">
        <f t="shared" si="7"/>
        <v>5674.4186046511632</v>
      </c>
      <c r="F34" s="485">
        <f t="shared" si="8"/>
        <v>144940.86378737525</v>
      </c>
      <c r="G34" s="486">
        <f t="shared" si="9"/>
        <v>22677.22212566646</v>
      </c>
      <c r="H34" s="455">
        <f t="shared" si="10"/>
        <v>22677.22212566646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144940.86378737525</v>
      </c>
      <c r="E35" s="484">
        <f t="shared" si="7"/>
        <v>5674.4186046511632</v>
      </c>
      <c r="F35" s="485">
        <f t="shared" si="8"/>
        <v>139266.44518272407</v>
      </c>
      <c r="G35" s="486">
        <f t="shared" si="9"/>
        <v>22024.344316302184</v>
      </c>
      <c r="H35" s="455">
        <f t="shared" si="10"/>
        <v>22024.344316302184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139266.44518272407</v>
      </c>
      <c r="E36" s="484">
        <f t="shared" si="7"/>
        <v>5674.4186046511632</v>
      </c>
      <c r="F36" s="485">
        <f t="shared" si="8"/>
        <v>133592.0265780729</v>
      </c>
      <c r="G36" s="486">
        <f t="shared" si="9"/>
        <v>21371.466506937908</v>
      </c>
      <c r="H36" s="455">
        <f t="shared" si="10"/>
        <v>21371.466506937908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133592.0265780729</v>
      </c>
      <c r="E37" s="484">
        <f t="shared" si="7"/>
        <v>5674.4186046511632</v>
      </c>
      <c r="F37" s="485">
        <f t="shared" si="8"/>
        <v>127917.60797342173</v>
      </c>
      <c r="G37" s="486">
        <f t="shared" si="9"/>
        <v>20718.588697573632</v>
      </c>
      <c r="H37" s="455">
        <f t="shared" si="10"/>
        <v>20718.588697573632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127917.60797342173</v>
      </c>
      <c r="E38" s="484">
        <f t="shared" si="7"/>
        <v>5674.4186046511632</v>
      </c>
      <c r="F38" s="485">
        <f t="shared" si="8"/>
        <v>122243.18936877057</v>
      </c>
      <c r="G38" s="486">
        <f t="shared" si="9"/>
        <v>20065.71088820936</v>
      </c>
      <c r="H38" s="455">
        <f t="shared" si="10"/>
        <v>20065.71088820936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122243.18936877057</v>
      </c>
      <c r="E39" s="484">
        <f t="shared" si="7"/>
        <v>5674.4186046511632</v>
      </c>
      <c r="F39" s="485">
        <f t="shared" si="8"/>
        <v>116568.77076411941</v>
      </c>
      <c r="G39" s="486">
        <f t="shared" si="9"/>
        <v>19412.833078845084</v>
      </c>
      <c r="H39" s="455">
        <f t="shared" si="10"/>
        <v>19412.833078845084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116568.77076411941</v>
      </c>
      <c r="E40" s="484">
        <f t="shared" si="7"/>
        <v>5674.4186046511632</v>
      </c>
      <c r="F40" s="485">
        <f t="shared" si="8"/>
        <v>110894.35215946825</v>
      </c>
      <c r="G40" s="486">
        <f t="shared" si="9"/>
        <v>18759.955269480812</v>
      </c>
      <c r="H40" s="455">
        <f t="shared" si="10"/>
        <v>18759.955269480812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110894.35215946825</v>
      </c>
      <c r="E41" s="484">
        <f t="shared" si="7"/>
        <v>5674.4186046511632</v>
      </c>
      <c r="F41" s="485">
        <f t="shared" si="8"/>
        <v>105219.93355481709</v>
      </c>
      <c r="G41" s="486">
        <f t="shared" si="9"/>
        <v>18107.077460116536</v>
      </c>
      <c r="H41" s="455">
        <f t="shared" si="10"/>
        <v>18107.077460116536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105219.93355481709</v>
      </c>
      <c r="E42" s="484">
        <f t="shared" si="7"/>
        <v>5674.4186046511632</v>
      </c>
      <c r="F42" s="485">
        <f t="shared" si="8"/>
        <v>99545.514950165933</v>
      </c>
      <c r="G42" s="486">
        <f t="shared" si="9"/>
        <v>17454.199650752264</v>
      </c>
      <c r="H42" s="455">
        <f t="shared" si="10"/>
        <v>17454.199650752264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99545.514950165933</v>
      </c>
      <c r="E43" s="484">
        <f t="shared" si="7"/>
        <v>5674.4186046511632</v>
      </c>
      <c r="F43" s="485">
        <f t="shared" si="8"/>
        <v>93871.096345514772</v>
      </c>
      <c r="G43" s="486">
        <f t="shared" si="9"/>
        <v>16801.321841387988</v>
      </c>
      <c r="H43" s="455">
        <f t="shared" si="10"/>
        <v>16801.321841387988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93871.096345514772</v>
      </c>
      <c r="E44" s="484">
        <f t="shared" si="7"/>
        <v>5674.4186046511632</v>
      </c>
      <c r="F44" s="485">
        <f t="shared" si="8"/>
        <v>88196.677740863612</v>
      </c>
      <c r="G44" s="486">
        <f t="shared" si="9"/>
        <v>16148.444032023715</v>
      </c>
      <c r="H44" s="455">
        <f t="shared" si="10"/>
        <v>16148.444032023715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88196.677740863612</v>
      </c>
      <c r="E45" s="484">
        <f t="shared" si="7"/>
        <v>5674.4186046511632</v>
      </c>
      <c r="F45" s="485">
        <f t="shared" si="8"/>
        <v>82522.259136212451</v>
      </c>
      <c r="G45" s="486">
        <f t="shared" si="9"/>
        <v>15495.56622265944</v>
      </c>
      <c r="H45" s="455">
        <f t="shared" si="10"/>
        <v>15495.56622265944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82522.259136212451</v>
      </c>
      <c r="E46" s="484">
        <f t="shared" si="7"/>
        <v>5674.4186046511632</v>
      </c>
      <c r="F46" s="485">
        <f t="shared" si="8"/>
        <v>76847.840531561291</v>
      </c>
      <c r="G46" s="486">
        <f t="shared" si="9"/>
        <v>14842.688413295167</v>
      </c>
      <c r="H46" s="455">
        <f t="shared" si="10"/>
        <v>14842.688413295167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76847.840531561291</v>
      </c>
      <c r="E47" s="484">
        <f t="shared" si="7"/>
        <v>5674.4186046511632</v>
      </c>
      <c r="F47" s="485">
        <f t="shared" si="8"/>
        <v>71173.42192691013</v>
      </c>
      <c r="G47" s="486">
        <f t="shared" si="9"/>
        <v>14189.810603930891</v>
      </c>
      <c r="H47" s="455">
        <f t="shared" si="10"/>
        <v>14189.810603930891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71173.42192691013</v>
      </c>
      <c r="E48" s="484">
        <f t="shared" si="7"/>
        <v>5674.4186046511632</v>
      </c>
      <c r="F48" s="485">
        <f t="shared" si="8"/>
        <v>65499.00332225897</v>
      </c>
      <c r="G48" s="486">
        <f t="shared" si="9"/>
        <v>13536.932794566619</v>
      </c>
      <c r="H48" s="455">
        <f t="shared" si="10"/>
        <v>13536.932794566619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65499.00332225897</v>
      </c>
      <c r="E49" s="484">
        <f t="shared" si="7"/>
        <v>5674.4186046511632</v>
      </c>
      <c r="F49" s="485">
        <f t="shared" si="8"/>
        <v>59824.58471760781</v>
      </c>
      <c r="G49" s="486">
        <f t="shared" si="9"/>
        <v>12884.054985202343</v>
      </c>
      <c r="H49" s="455">
        <f t="shared" si="10"/>
        <v>12884.054985202343</v>
      </c>
      <c r="I49" s="475">
        <f t="shared" si="0"/>
        <v>0</v>
      </c>
      <c r="J49" s="475"/>
      <c r="K49" s="487"/>
      <c r="L49" s="478">
        <f t="shared" si="1"/>
        <v>0</v>
      </c>
      <c r="M49" s="487"/>
      <c r="N49" s="478">
        <f t="shared" si="2"/>
        <v>0</v>
      </c>
      <c r="O49" s="478">
        <f t="shared" si="3"/>
        <v>0</v>
      </c>
      <c r="P49" s="243"/>
    </row>
    <row r="50" spans="2:16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59824.58471760781</v>
      </c>
      <c r="E50" s="484">
        <f t="shared" si="7"/>
        <v>5674.4186046511632</v>
      </c>
      <c r="F50" s="485">
        <f t="shared" si="8"/>
        <v>54150.166112956649</v>
      </c>
      <c r="G50" s="486">
        <f t="shared" si="9"/>
        <v>12231.177175838071</v>
      </c>
      <c r="H50" s="455">
        <f t="shared" si="10"/>
        <v>12231.177175838071</v>
      </c>
      <c r="I50" s="475">
        <f t="shared" si="0"/>
        <v>0</v>
      </c>
      <c r="J50" s="475"/>
      <c r="K50" s="487"/>
      <c r="L50" s="478">
        <f t="shared" si="1"/>
        <v>0</v>
      </c>
      <c r="M50" s="487"/>
      <c r="N50" s="478">
        <f t="shared" si="2"/>
        <v>0</v>
      </c>
      <c r="O50" s="478">
        <f t="shared" si="3"/>
        <v>0</v>
      </c>
      <c r="P50" s="243"/>
    </row>
    <row r="51" spans="2:16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54150.166112956649</v>
      </c>
      <c r="E51" s="484">
        <f t="shared" si="7"/>
        <v>5674.4186046511632</v>
      </c>
      <c r="F51" s="485">
        <f t="shared" si="8"/>
        <v>48475.747508305489</v>
      </c>
      <c r="G51" s="486">
        <f t="shared" si="9"/>
        <v>11578.299366473795</v>
      </c>
      <c r="H51" s="455">
        <f t="shared" si="10"/>
        <v>11578.299366473795</v>
      </c>
      <c r="I51" s="475">
        <f t="shared" si="0"/>
        <v>0</v>
      </c>
      <c r="J51" s="475"/>
      <c r="K51" s="487"/>
      <c r="L51" s="478">
        <f t="shared" si="1"/>
        <v>0</v>
      </c>
      <c r="M51" s="487"/>
      <c r="N51" s="478">
        <f t="shared" si="2"/>
        <v>0</v>
      </c>
      <c r="O51" s="478">
        <f t="shared" si="3"/>
        <v>0</v>
      </c>
      <c r="P51" s="243"/>
    </row>
    <row r="52" spans="2:16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48475.747508305489</v>
      </c>
      <c r="E52" s="484">
        <f t="shared" si="7"/>
        <v>5674.4186046511632</v>
      </c>
      <c r="F52" s="485">
        <f t="shared" si="8"/>
        <v>42801.328903654328</v>
      </c>
      <c r="G52" s="486">
        <f t="shared" si="9"/>
        <v>10925.421557109523</v>
      </c>
      <c r="H52" s="455">
        <f t="shared" si="10"/>
        <v>10925.421557109523</v>
      </c>
      <c r="I52" s="475">
        <f t="shared" si="0"/>
        <v>0</v>
      </c>
      <c r="J52" s="475"/>
      <c r="K52" s="487"/>
      <c r="L52" s="478">
        <f t="shared" si="1"/>
        <v>0</v>
      </c>
      <c r="M52" s="487"/>
      <c r="N52" s="478">
        <f t="shared" si="2"/>
        <v>0</v>
      </c>
      <c r="O52" s="478">
        <f t="shared" si="3"/>
        <v>0</v>
      </c>
      <c r="P52" s="243"/>
    </row>
    <row r="53" spans="2:16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42801.328903654328</v>
      </c>
      <c r="E53" s="484">
        <f t="shared" si="7"/>
        <v>5674.4186046511632</v>
      </c>
      <c r="F53" s="485">
        <f t="shared" si="8"/>
        <v>37126.910299003168</v>
      </c>
      <c r="G53" s="486">
        <f t="shared" si="9"/>
        <v>10272.543747745247</v>
      </c>
      <c r="H53" s="455">
        <f t="shared" si="10"/>
        <v>10272.543747745247</v>
      </c>
      <c r="I53" s="475">
        <f t="shared" si="0"/>
        <v>0</v>
      </c>
      <c r="J53" s="475"/>
      <c r="K53" s="487"/>
      <c r="L53" s="478">
        <f t="shared" si="1"/>
        <v>0</v>
      </c>
      <c r="M53" s="487"/>
      <c r="N53" s="478">
        <f t="shared" si="2"/>
        <v>0</v>
      </c>
      <c r="O53" s="478">
        <f t="shared" si="3"/>
        <v>0</v>
      </c>
      <c r="P53" s="243"/>
    </row>
    <row r="54" spans="2:16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37126.910299003168</v>
      </c>
      <c r="E54" s="484">
        <f t="shared" si="7"/>
        <v>5674.4186046511632</v>
      </c>
      <c r="F54" s="485">
        <f t="shared" si="8"/>
        <v>31452.491694352004</v>
      </c>
      <c r="G54" s="486">
        <f t="shared" si="9"/>
        <v>9619.6659383809747</v>
      </c>
      <c r="H54" s="455">
        <f t="shared" si="10"/>
        <v>9619.6659383809747</v>
      </c>
      <c r="I54" s="475">
        <f t="shared" si="0"/>
        <v>0</v>
      </c>
      <c r="J54" s="475"/>
      <c r="K54" s="487"/>
      <c r="L54" s="478">
        <f t="shared" si="1"/>
        <v>0</v>
      </c>
      <c r="M54" s="487"/>
      <c r="N54" s="478">
        <f t="shared" si="2"/>
        <v>0</v>
      </c>
      <c r="O54" s="478">
        <f t="shared" si="3"/>
        <v>0</v>
      </c>
      <c r="P54" s="243"/>
    </row>
    <row r="55" spans="2:16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31452.491694352004</v>
      </c>
      <c r="E55" s="484">
        <f t="shared" si="7"/>
        <v>5674.4186046511632</v>
      </c>
      <c r="F55" s="485">
        <f t="shared" si="8"/>
        <v>25778.07308970084</v>
      </c>
      <c r="G55" s="486">
        <f t="shared" si="9"/>
        <v>8966.7881290166988</v>
      </c>
      <c r="H55" s="455">
        <f t="shared" si="10"/>
        <v>8966.7881290166988</v>
      </c>
      <c r="I55" s="475">
        <f t="shared" si="0"/>
        <v>0</v>
      </c>
      <c r="J55" s="475"/>
      <c r="K55" s="487"/>
      <c r="L55" s="478">
        <f t="shared" si="1"/>
        <v>0</v>
      </c>
      <c r="M55" s="487"/>
      <c r="N55" s="478">
        <f t="shared" si="2"/>
        <v>0</v>
      </c>
      <c r="O55" s="478">
        <f t="shared" si="3"/>
        <v>0</v>
      </c>
      <c r="P55" s="243"/>
    </row>
    <row r="56" spans="2:16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25778.07308970084</v>
      </c>
      <c r="E56" s="484">
        <f t="shared" si="7"/>
        <v>5674.4186046511632</v>
      </c>
      <c r="F56" s="485">
        <f t="shared" si="8"/>
        <v>20103.654485049676</v>
      </c>
      <c r="G56" s="486">
        <f t="shared" si="9"/>
        <v>8313.9103196524266</v>
      </c>
      <c r="H56" s="455">
        <f t="shared" si="10"/>
        <v>8313.9103196524266</v>
      </c>
      <c r="I56" s="475">
        <f t="shared" si="0"/>
        <v>0</v>
      </c>
      <c r="J56" s="475"/>
      <c r="K56" s="487"/>
      <c r="L56" s="478">
        <f t="shared" si="1"/>
        <v>0</v>
      </c>
      <c r="M56" s="487"/>
      <c r="N56" s="478">
        <f t="shared" si="2"/>
        <v>0</v>
      </c>
      <c r="O56" s="478">
        <f t="shared" si="3"/>
        <v>0</v>
      </c>
      <c r="P56" s="243"/>
    </row>
    <row r="57" spans="2:16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20103.654485049676</v>
      </c>
      <c r="E57" s="484">
        <f t="shared" si="7"/>
        <v>5674.4186046511632</v>
      </c>
      <c r="F57" s="485">
        <f t="shared" si="8"/>
        <v>14429.235880398512</v>
      </c>
      <c r="G57" s="486">
        <f t="shared" si="9"/>
        <v>7661.0325102881507</v>
      </c>
      <c r="H57" s="455">
        <f t="shared" si="10"/>
        <v>7661.0325102881507</v>
      </c>
      <c r="I57" s="475">
        <f t="shared" si="0"/>
        <v>0</v>
      </c>
      <c r="J57" s="475"/>
      <c r="K57" s="487"/>
      <c r="L57" s="478">
        <f t="shared" si="1"/>
        <v>0</v>
      </c>
      <c r="M57" s="487"/>
      <c r="N57" s="478">
        <f t="shared" si="2"/>
        <v>0</v>
      </c>
      <c r="O57" s="478">
        <f t="shared" si="3"/>
        <v>0</v>
      </c>
      <c r="P57" s="243"/>
    </row>
    <row r="58" spans="2:16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14429.235880398512</v>
      </c>
      <c r="E58" s="484">
        <f t="shared" si="7"/>
        <v>5674.4186046511632</v>
      </c>
      <c r="F58" s="485">
        <f t="shared" si="8"/>
        <v>8754.8172757473476</v>
      </c>
      <c r="G58" s="486">
        <f t="shared" si="9"/>
        <v>7008.1547009238766</v>
      </c>
      <c r="H58" s="455">
        <f t="shared" si="10"/>
        <v>7008.1547009238766</v>
      </c>
      <c r="I58" s="475">
        <f t="shared" si="0"/>
        <v>0</v>
      </c>
      <c r="J58" s="475"/>
      <c r="K58" s="487"/>
      <c r="L58" s="478">
        <f t="shared" si="1"/>
        <v>0</v>
      </c>
      <c r="M58" s="487"/>
      <c r="N58" s="478">
        <f t="shared" si="2"/>
        <v>0</v>
      </c>
      <c r="O58" s="478">
        <f t="shared" si="3"/>
        <v>0</v>
      </c>
      <c r="P58" s="243"/>
    </row>
    <row r="59" spans="2:16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8754.8172757473476</v>
      </c>
      <c r="E59" s="484">
        <f t="shared" si="7"/>
        <v>5674.4186046511632</v>
      </c>
      <c r="F59" s="485">
        <f t="shared" si="8"/>
        <v>3080.3986710961844</v>
      </c>
      <c r="G59" s="486">
        <f t="shared" si="9"/>
        <v>6355.2768915596025</v>
      </c>
      <c r="H59" s="455">
        <f t="shared" si="10"/>
        <v>6355.2768915596025</v>
      </c>
      <c r="I59" s="475">
        <f t="shared" si="0"/>
        <v>0</v>
      </c>
      <c r="J59" s="475"/>
      <c r="K59" s="487"/>
      <c r="L59" s="478">
        <f t="shared" si="1"/>
        <v>0</v>
      </c>
      <c r="M59" s="487"/>
      <c r="N59" s="478">
        <f t="shared" si="2"/>
        <v>0</v>
      </c>
      <c r="O59" s="478">
        <f t="shared" si="3"/>
        <v>0</v>
      </c>
      <c r="P59" s="243"/>
    </row>
    <row r="60" spans="2:16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3080.3986710961844</v>
      </c>
      <c r="E60" s="484">
        <f t="shared" si="7"/>
        <v>3080.3986710961844</v>
      </c>
      <c r="F60" s="485">
        <f t="shared" si="8"/>
        <v>0</v>
      </c>
      <c r="G60" s="486">
        <f t="shared" si="9"/>
        <v>3257.6083622093352</v>
      </c>
      <c r="H60" s="455">
        <f t="shared" si="10"/>
        <v>3257.6083622093352</v>
      </c>
      <c r="I60" s="475">
        <f t="shared" si="0"/>
        <v>0</v>
      </c>
      <c r="J60" s="475"/>
      <c r="K60" s="487"/>
      <c r="L60" s="478">
        <f t="shared" si="1"/>
        <v>0</v>
      </c>
      <c r="M60" s="487"/>
      <c r="N60" s="478">
        <f t="shared" si="2"/>
        <v>0</v>
      </c>
      <c r="O60" s="478">
        <f t="shared" si="3"/>
        <v>0</v>
      </c>
      <c r="P60" s="243"/>
    </row>
    <row r="61" spans="2:16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7"/>
        <v>0</v>
      </c>
      <c r="F61" s="485">
        <f t="shared" si="8"/>
        <v>0</v>
      </c>
      <c r="G61" s="486">
        <f t="shared" si="9"/>
        <v>0</v>
      </c>
      <c r="H61" s="455">
        <f t="shared" si="10"/>
        <v>0</v>
      </c>
      <c r="I61" s="475">
        <f t="shared" si="0"/>
        <v>0</v>
      </c>
      <c r="J61" s="475"/>
      <c r="K61" s="487"/>
      <c r="L61" s="478">
        <f t="shared" si="1"/>
        <v>0</v>
      </c>
      <c r="M61" s="487"/>
      <c r="N61" s="478">
        <f t="shared" si="2"/>
        <v>0</v>
      </c>
      <c r="O61" s="478">
        <f t="shared" si="3"/>
        <v>0</v>
      </c>
      <c r="P61" s="243"/>
    </row>
    <row r="62" spans="2:16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7"/>
        <v>0</v>
      </c>
      <c r="F62" s="485">
        <f t="shared" si="8"/>
        <v>0</v>
      </c>
      <c r="G62" s="486">
        <f t="shared" si="9"/>
        <v>0</v>
      </c>
      <c r="H62" s="455">
        <f t="shared" si="10"/>
        <v>0</v>
      </c>
      <c r="I62" s="475">
        <f t="shared" si="0"/>
        <v>0</v>
      </c>
      <c r="J62" s="475"/>
      <c r="K62" s="487"/>
      <c r="L62" s="478">
        <f t="shared" si="1"/>
        <v>0</v>
      </c>
      <c r="M62" s="487"/>
      <c r="N62" s="478">
        <f t="shared" si="2"/>
        <v>0</v>
      </c>
      <c r="O62" s="478">
        <f t="shared" si="3"/>
        <v>0</v>
      </c>
      <c r="P62" s="243"/>
    </row>
    <row r="63" spans="2:16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0"/>
        <v>0</v>
      </c>
      <c r="J63" s="475"/>
      <c r="K63" s="487"/>
      <c r="L63" s="478">
        <f t="shared" si="1"/>
        <v>0</v>
      </c>
      <c r="M63" s="487"/>
      <c r="N63" s="478">
        <f t="shared" si="2"/>
        <v>0</v>
      </c>
      <c r="O63" s="478">
        <f t="shared" si="3"/>
        <v>0</v>
      </c>
      <c r="P63" s="243"/>
    </row>
    <row r="64" spans="2:16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0"/>
        <v>0</v>
      </c>
      <c r="J64" s="475"/>
      <c r="K64" s="487"/>
      <c r="L64" s="478">
        <f t="shared" si="1"/>
        <v>0</v>
      </c>
      <c r="M64" s="487"/>
      <c r="N64" s="478">
        <f t="shared" si="2"/>
        <v>0</v>
      </c>
      <c r="O64" s="478">
        <f t="shared" si="3"/>
        <v>0</v>
      </c>
      <c r="P64" s="243"/>
    </row>
    <row r="65" spans="2:16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0"/>
        <v>0</v>
      </c>
      <c r="J65" s="475"/>
      <c r="K65" s="487"/>
      <c r="L65" s="478">
        <f t="shared" si="1"/>
        <v>0</v>
      </c>
      <c r="M65" s="487"/>
      <c r="N65" s="478">
        <f t="shared" si="2"/>
        <v>0</v>
      </c>
      <c r="O65" s="478">
        <f t="shared" si="3"/>
        <v>0</v>
      </c>
      <c r="P65" s="243"/>
    </row>
    <row r="66" spans="2:16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0"/>
        <v>0</v>
      </c>
      <c r="J66" s="475"/>
      <c r="K66" s="487"/>
      <c r="L66" s="478">
        <f t="shared" si="1"/>
        <v>0</v>
      </c>
      <c r="M66" s="487"/>
      <c r="N66" s="478">
        <f t="shared" si="2"/>
        <v>0</v>
      </c>
      <c r="O66" s="478">
        <f t="shared" si="3"/>
        <v>0</v>
      </c>
      <c r="P66" s="243"/>
    </row>
    <row r="67" spans="2:16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0"/>
        <v>0</v>
      </c>
      <c r="J67" s="475"/>
      <c r="K67" s="487"/>
      <c r="L67" s="478">
        <f t="shared" si="1"/>
        <v>0</v>
      </c>
      <c r="M67" s="487"/>
      <c r="N67" s="478">
        <f t="shared" si="2"/>
        <v>0</v>
      </c>
      <c r="O67" s="478">
        <f t="shared" si="3"/>
        <v>0</v>
      </c>
      <c r="P67" s="243"/>
    </row>
    <row r="68" spans="2:16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0"/>
        <v>0</v>
      </c>
      <c r="J68" s="475"/>
      <c r="K68" s="487"/>
      <c r="L68" s="478">
        <f t="shared" si="1"/>
        <v>0</v>
      </c>
      <c r="M68" s="487"/>
      <c r="N68" s="478">
        <f t="shared" si="2"/>
        <v>0</v>
      </c>
      <c r="O68" s="478">
        <f t="shared" si="3"/>
        <v>0</v>
      </c>
      <c r="P68" s="243"/>
    </row>
    <row r="69" spans="2:16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0"/>
        <v>0</v>
      </c>
      <c r="J69" s="475"/>
      <c r="K69" s="487"/>
      <c r="L69" s="478">
        <f t="shared" si="1"/>
        <v>0</v>
      </c>
      <c r="M69" s="487"/>
      <c r="N69" s="478">
        <f t="shared" si="2"/>
        <v>0</v>
      </c>
      <c r="O69" s="478">
        <f t="shared" si="3"/>
        <v>0</v>
      </c>
      <c r="P69" s="243"/>
    </row>
    <row r="70" spans="2:16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0"/>
        <v>0</v>
      </c>
      <c r="J70" s="475"/>
      <c r="K70" s="487"/>
      <c r="L70" s="478">
        <f t="shared" si="1"/>
        <v>0</v>
      </c>
      <c r="M70" s="487"/>
      <c r="N70" s="478">
        <f t="shared" si="2"/>
        <v>0</v>
      </c>
      <c r="O70" s="478">
        <f t="shared" si="3"/>
        <v>0</v>
      </c>
      <c r="P70" s="243"/>
    </row>
    <row r="71" spans="2:16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0"/>
        <v>0</v>
      </c>
      <c r="J71" s="475"/>
      <c r="K71" s="487"/>
      <c r="L71" s="478">
        <f t="shared" si="1"/>
        <v>0</v>
      </c>
      <c r="M71" s="487"/>
      <c r="N71" s="478">
        <f t="shared" si="2"/>
        <v>0</v>
      </c>
      <c r="O71" s="478">
        <f t="shared" si="3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 t="shared" si="7"/>
        <v>0</v>
      </c>
      <c r="F72" s="490">
        <f t="shared" si="8"/>
        <v>0</v>
      </c>
      <c r="G72" s="544">
        <f t="shared" si="9"/>
        <v>0</v>
      </c>
      <c r="H72" s="435">
        <f t="shared" si="10"/>
        <v>0</v>
      </c>
      <c r="I72" s="493">
        <f t="shared" si="0"/>
        <v>0</v>
      </c>
      <c r="J72" s="475"/>
      <c r="K72" s="494"/>
      <c r="L72" s="495">
        <f t="shared" si="1"/>
        <v>0</v>
      </c>
      <c r="M72" s="494"/>
      <c r="N72" s="495">
        <f t="shared" si="2"/>
        <v>0</v>
      </c>
      <c r="O72" s="495">
        <f t="shared" si="3"/>
        <v>0</v>
      </c>
      <c r="P72" s="243"/>
    </row>
    <row r="73" spans="2:16">
      <c r="C73" s="347" t="s">
        <v>77</v>
      </c>
      <c r="D73" s="348"/>
      <c r="E73" s="348">
        <f>SUM(E17:E72)</f>
        <v>244000.00000000006</v>
      </c>
      <c r="F73" s="348"/>
      <c r="G73" s="348">
        <f>SUM(G17:G72)</f>
        <v>852715.77440545312</v>
      </c>
      <c r="H73" s="348">
        <f>SUM(H17:H72)</f>
        <v>852715.77440545312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22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30100.568065113996</v>
      </c>
      <c r="N87" s="508">
        <f>IF(J92&lt;D11,0,VLOOKUP(J92,C17:O72,11))</f>
        <v>30100.568065113996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31732.179671191017</v>
      </c>
      <c r="N88" s="512">
        <f>IF(J92&lt;D11,0,VLOOKUP(J92,C99:P154,7))</f>
        <v>31732.179671191017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Northeastern Station 138 kV Terminal Upgrades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1631.6116060770219</v>
      </c>
      <c r="N89" s="517">
        <f>+N88-N87</f>
        <v>1631.6116060770219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TP2015169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244000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6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5951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2018</v>
      </c>
      <c r="D99" s="584">
        <v>0</v>
      </c>
      <c r="E99" s="608">
        <v>2837</v>
      </c>
      <c r="F99" s="584">
        <v>241163</v>
      </c>
      <c r="G99" s="608">
        <v>120581.5</v>
      </c>
      <c r="H99" s="587">
        <v>15225.00875134001</v>
      </c>
      <c r="I99" s="607">
        <v>15225.00875134001</v>
      </c>
      <c r="J99" s="478">
        <f t="shared" ref="J99:J130" si="11">+I99-H99</f>
        <v>0</v>
      </c>
      <c r="K99" s="478"/>
      <c r="L99" s="477">
        <f>+H99</f>
        <v>15225.00875134001</v>
      </c>
      <c r="M99" s="477">
        <f t="shared" ref="M99" si="12">IF(L99&lt;&gt;0,+H99-L99,0)</f>
        <v>0</v>
      </c>
      <c r="N99" s="477">
        <f>+I99</f>
        <v>15225.00875134001</v>
      </c>
      <c r="O99" s="477">
        <f t="shared" ref="O99" si="13">IF(N99&lt;&gt;0,+I99-N99,0)</f>
        <v>0</v>
      </c>
      <c r="P99" s="477">
        <f t="shared" ref="P99" si="14">+O99-M99</f>
        <v>0</v>
      </c>
    </row>
    <row r="100" spans="1:16">
      <c r="B100" s="160" t="str">
        <f>IF(D100=F99,"","IU")</f>
        <v/>
      </c>
      <c r="C100" s="472">
        <f>IF(D93="","-",+C99+1)</f>
        <v>2019</v>
      </c>
      <c r="D100" s="584">
        <v>241163</v>
      </c>
      <c r="E100" s="585">
        <v>5951</v>
      </c>
      <c r="F100" s="586">
        <v>235212</v>
      </c>
      <c r="G100" s="586">
        <v>238187.5</v>
      </c>
      <c r="H100" s="606">
        <v>30511.472087080136</v>
      </c>
      <c r="I100" s="607">
        <v>30511.472087080136</v>
      </c>
      <c r="J100" s="478">
        <f t="shared" si="11"/>
        <v>0</v>
      </c>
      <c r="K100" s="478"/>
      <c r="L100" s="476">
        <f>H100</f>
        <v>30511.472087080136</v>
      </c>
      <c r="M100" s="349">
        <f>IF(L100&lt;&gt;0,+H100-L100,0)</f>
        <v>0</v>
      </c>
      <c r="N100" s="476">
        <f>I100</f>
        <v>30511.472087080136</v>
      </c>
      <c r="O100" s="478">
        <f t="shared" ref="O100:O130" si="15">IF(N100&lt;&gt;0,+I100-N100,0)</f>
        <v>0</v>
      </c>
      <c r="P100" s="478">
        <f t="shared" ref="P100:P130" si="16">+O100-M100</f>
        <v>0</v>
      </c>
    </row>
    <row r="101" spans="1:16">
      <c r="B101" s="160" t="str">
        <f t="shared" ref="B101:B154" si="17">IF(D101=F100,"","IU")</f>
        <v/>
      </c>
      <c r="C101" s="472">
        <f>IF(D93="","-",+C100+1)</f>
        <v>2020</v>
      </c>
      <c r="D101" s="584">
        <v>235212</v>
      </c>
      <c r="E101" s="585">
        <v>5674</v>
      </c>
      <c r="F101" s="586">
        <v>229538</v>
      </c>
      <c r="G101" s="586">
        <v>232375</v>
      </c>
      <c r="H101" s="606">
        <v>32466.198637614907</v>
      </c>
      <c r="I101" s="607">
        <v>32466.198637614907</v>
      </c>
      <c r="J101" s="478">
        <f t="shared" si="11"/>
        <v>0</v>
      </c>
      <c r="K101" s="478"/>
      <c r="L101" s="476">
        <f>H101</f>
        <v>32466.198637614907</v>
      </c>
      <c r="M101" s="349">
        <f>IF(L101&lt;&gt;0,+H101-L101,0)</f>
        <v>0</v>
      </c>
      <c r="N101" s="476">
        <f>I101</f>
        <v>32466.198637614907</v>
      </c>
      <c r="O101" s="478">
        <f t="shared" si="15"/>
        <v>0</v>
      </c>
      <c r="P101" s="478">
        <f t="shared" si="16"/>
        <v>0</v>
      </c>
    </row>
    <row r="102" spans="1:16">
      <c r="B102" s="160" t="str">
        <f t="shared" si="17"/>
        <v/>
      </c>
      <c r="C102" s="472">
        <f>IF(D93="","-",+C101+1)</f>
        <v>2021</v>
      </c>
      <c r="D102" s="347">
        <f>IF(F101+SUM(E$99:E101)=D$92,F101,D$92-SUM(E$99:E101))</f>
        <v>229538</v>
      </c>
      <c r="E102" s="484">
        <f t="shared" ref="E102:E154" si="18">IF(+J$96&lt;F101,J$96,D102)</f>
        <v>5951</v>
      </c>
      <c r="F102" s="485">
        <f t="shared" ref="F102:F154" si="19">+D102-E102</f>
        <v>223587</v>
      </c>
      <c r="G102" s="485">
        <f t="shared" ref="G102:G154" si="20">+(F102+D102)/2</f>
        <v>226562.5</v>
      </c>
      <c r="H102" s="486">
        <f t="shared" ref="H102:H153" si="21">(D102+F102)/2*J$94+E102</f>
        <v>31732.179671191017</v>
      </c>
      <c r="I102" s="542">
        <f t="shared" ref="I102:I153" si="22">+J$95*G102+E102</f>
        <v>31732.179671191017</v>
      </c>
      <c r="J102" s="478">
        <f t="shared" si="11"/>
        <v>0</v>
      </c>
      <c r="K102" s="478"/>
      <c r="L102" s="487"/>
      <c r="M102" s="478">
        <f t="shared" ref="M102:M130" si="23">IF(L102&lt;&gt;0,+H102-L102,0)</f>
        <v>0</v>
      </c>
      <c r="N102" s="487"/>
      <c r="O102" s="478">
        <f t="shared" si="15"/>
        <v>0</v>
      </c>
      <c r="P102" s="478">
        <f t="shared" si="16"/>
        <v>0</v>
      </c>
    </row>
    <row r="103" spans="1:16">
      <c r="B103" s="160" t="str">
        <f t="shared" si="17"/>
        <v/>
      </c>
      <c r="C103" s="472">
        <f>IF(D93="","-",+C102+1)</f>
        <v>2022</v>
      </c>
      <c r="D103" s="347">
        <f>IF(F102+SUM(E$99:E102)=D$92,F102,D$92-SUM(E$99:E102))</f>
        <v>223587</v>
      </c>
      <c r="E103" s="484">
        <f t="shared" si="18"/>
        <v>5951</v>
      </c>
      <c r="F103" s="485">
        <f t="shared" si="19"/>
        <v>217636</v>
      </c>
      <c r="G103" s="485">
        <f t="shared" si="20"/>
        <v>220611.5</v>
      </c>
      <c r="H103" s="486">
        <f t="shared" si="21"/>
        <v>31054.998759860777</v>
      </c>
      <c r="I103" s="542">
        <f t="shared" si="22"/>
        <v>31054.998759860777</v>
      </c>
      <c r="J103" s="478">
        <f t="shared" si="11"/>
        <v>0</v>
      </c>
      <c r="K103" s="478"/>
      <c r="L103" s="487"/>
      <c r="M103" s="478">
        <f t="shared" si="23"/>
        <v>0</v>
      </c>
      <c r="N103" s="487"/>
      <c r="O103" s="478">
        <f t="shared" si="15"/>
        <v>0</v>
      </c>
      <c r="P103" s="478">
        <f t="shared" si="16"/>
        <v>0</v>
      </c>
    </row>
    <row r="104" spans="1:16">
      <c r="B104" s="160" t="str">
        <f t="shared" si="17"/>
        <v/>
      </c>
      <c r="C104" s="472">
        <f>IF(D93="","-",+C103+1)</f>
        <v>2023</v>
      </c>
      <c r="D104" s="347">
        <f>IF(F103+SUM(E$99:E103)=D$92,F103,D$92-SUM(E$99:E103))</f>
        <v>217636</v>
      </c>
      <c r="E104" s="484">
        <f t="shared" si="18"/>
        <v>5951</v>
      </c>
      <c r="F104" s="485">
        <f t="shared" si="19"/>
        <v>211685</v>
      </c>
      <c r="G104" s="485">
        <f t="shared" si="20"/>
        <v>214660.5</v>
      </c>
      <c r="H104" s="486">
        <f t="shared" si="21"/>
        <v>30377.817848530536</v>
      </c>
      <c r="I104" s="542">
        <f t="shared" si="22"/>
        <v>30377.817848530536</v>
      </c>
      <c r="J104" s="478">
        <f t="shared" si="11"/>
        <v>0</v>
      </c>
      <c r="K104" s="478"/>
      <c r="L104" s="487"/>
      <c r="M104" s="478">
        <f t="shared" si="23"/>
        <v>0</v>
      </c>
      <c r="N104" s="487"/>
      <c r="O104" s="478">
        <f t="shared" si="15"/>
        <v>0</v>
      </c>
      <c r="P104" s="478">
        <f t="shared" si="16"/>
        <v>0</v>
      </c>
    </row>
    <row r="105" spans="1:16">
      <c r="B105" s="160" t="str">
        <f t="shared" si="17"/>
        <v/>
      </c>
      <c r="C105" s="472">
        <f>IF(D93="","-",+C104+1)</f>
        <v>2024</v>
      </c>
      <c r="D105" s="347">
        <f>IF(F104+SUM(E$99:E104)=D$92,F104,D$92-SUM(E$99:E104))</f>
        <v>211685</v>
      </c>
      <c r="E105" s="484">
        <f t="shared" si="18"/>
        <v>5951</v>
      </c>
      <c r="F105" s="485">
        <f t="shared" si="19"/>
        <v>205734</v>
      </c>
      <c r="G105" s="485">
        <f t="shared" si="20"/>
        <v>208709.5</v>
      </c>
      <c r="H105" s="486">
        <f t="shared" si="21"/>
        <v>29700.636937200296</v>
      </c>
      <c r="I105" s="542">
        <f t="shared" si="22"/>
        <v>29700.636937200296</v>
      </c>
      <c r="J105" s="478">
        <f t="shared" si="11"/>
        <v>0</v>
      </c>
      <c r="K105" s="478"/>
      <c r="L105" s="487"/>
      <c r="M105" s="478">
        <f t="shared" si="23"/>
        <v>0</v>
      </c>
      <c r="N105" s="487"/>
      <c r="O105" s="478">
        <f t="shared" si="15"/>
        <v>0</v>
      </c>
      <c r="P105" s="478">
        <f t="shared" si="16"/>
        <v>0</v>
      </c>
    </row>
    <row r="106" spans="1:16">
      <c r="B106" s="160" t="str">
        <f t="shared" si="17"/>
        <v/>
      </c>
      <c r="C106" s="472">
        <f>IF(D93="","-",+C105+1)</f>
        <v>2025</v>
      </c>
      <c r="D106" s="347">
        <f>IF(F105+SUM(E$99:E105)=D$92,F105,D$92-SUM(E$99:E105))</f>
        <v>205734</v>
      </c>
      <c r="E106" s="484">
        <f t="shared" si="18"/>
        <v>5951</v>
      </c>
      <c r="F106" s="485">
        <f t="shared" si="19"/>
        <v>199783</v>
      </c>
      <c r="G106" s="485">
        <f t="shared" si="20"/>
        <v>202758.5</v>
      </c>
      <c r="H106" s="486">
        <f t="shared" si="21"/>
        <v>29023.456025870055</v>
      </c>
      <c r="I106" s="542">
        <f t="shared" si="22"/>
        <v>29023.456025870055</v>
      </c>
      <c r="J106" s="478">
        <f t="shared" si="11"/>
        <v>0</v>
      </c>
      <c r="K106" s="478"/>
      <c r="L106" s="487"/>
      <c r="M106" s="478">
        <f t="shared" si="23"/>
        <v>0</v>
      </c>
      <c r="N106" s="487"/>
      <c r="O106" s="478">
        <f t="shared" si="15"/>
        <v>0</v>
      </c>
      <c r="P106" s="478">
        <f t="shared" si="16"/>
        <v>0</v>
      </c>
    </row>
    <row r="107" spans="1:16">
      <c r="B107" s="160" t="str">
        <f t="shared" si="17"/>
        <v/>
      </c>
      <c r="C107" s="472">
        <f>IF(D93="","-",+C106+1)</f>
        <v>2026</v>
      </c>
      <c r="D107" s="347">
        <f>IF(F106+SUM(E$99:E106)=D$92,F106,D$92-SUM(E$99:E106))</f>
        <v>199783</v>
      </c>
      <c r="E107" s="484">
        <f t="shared" si="18"/>
        <v>5951</v>
      </c>
      <c r="F107" s="485">
        <f t="shared" si="19"/>
        <v>193832</v>
      </c>
      <c r="G107" s="485">
        <f t="shared" si="20"/>
        <v>196807.5</v>
      </c>
      <c r="H107" s="486">
        <f t="shared" si="21"/>
        <v>28346.275114539814</v>
      </c>
      <c r="I107" s="542">
        <f t="shared" si="22"/>
        <v>28346.275114539814</v>
      </c>
      <c r="J107" s="478">
        <f t="shared" si="11"/>
        <v>0</v>
      </c>
      <c r="K107" s="478"/>
      <c r="L107" s="487"/>
      <c r="M107" s="478">
        <f t="shared" si="23"/>
        <v>0</v>
      </c>
      <c r="N107" s="487"/>
      <c r="O107" s="478">
        <f t="shared" si="15"/>
        <v>0</v>
      </c>
      <c r="P107" s="478">
        <f t="shared" si="16"/>
        <v>0</v>
      </c>
    </row>
    <row r="108" spans="1:16">
      <c r="B108" s="160" t="str">
        <f t="shared" si="17"/>
        <v/>
      </c>
      <c r="C108" s="472">
        <f>IF(D93="","-",+C107+1)</f>
        <v>2027</v>
      </c>
      <c r="D108" s="347">
        <f>IF(F107+SUM(E$99:E107)=D$92,F107,D$92-SUM(E$99:E107))</f>
        <v>193832</v>
      </c>
      <c r="E108" s="484">
        <f t="shared" si="18"/>
        <v>5951</v>
      </c>
      <c r="F108" s="485">
        <f t="shared" si="19"/>
        <v>187881</v>
      </c>
      <c r="G108" s="485">
        <f t="shared" si="20"/>
        <v>190856.5</v>
      </c>
      <c r="H108" s="486">
        <f t="shared" si="21"/>
        <v>27669.094203209574</v>
      </c>
      <c r="I108" s="542">
        <f t="shared" si="22"/>
        <v>27669.094203209574</v>
      </c>
      <c r="J108" s="478">
        <f t="shared" si="11"/>
        <v>0</v>
      </c>
      <c r="K108" s="478"/>
      <c r="L108" s="487"/>
      <c r="M108" s="478">
        <f t="shared" si="23"/>
        <v>0</v>
      </c>
      <c r="N108" s="487"/>
      <c r="O108" s="478">
        <f t="shared" si="15"/>
        <v>0</v>
      </c>
      <c r="P108" s="478">
        <f t="shared" si="16"/>
        <v>0</v>
      </c>
    </row>
    <row r="109" spans="1:16">
      <c r="B109" s="160" t="str">
        <f t="shared" si="17"/>
        <v/>
      </c>
      <c r="C109" s="472">
        <f>IF(D93="","-",+C108+1)</f>
        <v>2028</v>
      </c>
      <c r="D109" s="347">
        <f>IF(F108+SUM(E$99:E108)=D$92,F108,D$92-SUM(E$99:E108))</f>
        <v>187881</v>
      </c>
      <c r="E109" s="484">
        <f t="shared" si="18"/>
        <v>5951</v>
      </c>
      <c r="F109" s="485">
        <f t="shared" si="19"/>
        <v>181930</v>
      </c>
      <c r="G109" s="485">
        <f t="shared" si="20"/>
        <v>184905.5</v>
      </c>
      <c r="H109" s="486">
        <f t="shared" si="21"/>
        <v>26991.913291879329</v>
      </c>
      <c r="I109" s="542">
        <f t="shared" si="22"/>
        <v>26991.913291879329</v>
      </c>
      <c r="J109" s="478">
        <f t="shared" si="11"/>
        <v>0</v>
      </c>
      <c r="K109" s="478"/>
      <c r="L109" s="487"/>
      <c r="M109" s="478">
        <f t="shared" si="23"/>
        <v>0</v>
      </c>
      <c r="N109" s="487"/>
      <c r="O109" s="478">
        <f t="shared" si="15"/>
        <v>0</v>
      </c>
      <c r="P109" s="478">
        <f t="shared" si="16"/>
        <v>0</v>
      </c>
    </row>
    <row r="110" spans="1:16">
      <c r="B110" s="160" t="str">
        <f t="shared" si="17"/>
        <v/>
      </c>
      <c r="C110" s="472">
        <f>IF(D93="","-",+C109+1)</f>
        <v>2029</v>
      </c>
      <c r="D110" s="347">
        <f>IF(F109+SUM(E$99:E109)=D$92,F109,D$92-SUM(E$99:E109))</f>
        <v>181930</v>
      </c>
      <c r="E110" s="484">
        <f t="shared" si="18"/>
        <v>5951</v>
      </c>
      <c r="F110" s="485">
        <f t="shared" si="19"/>
        <v>175979</v>
      </c>
      <c r="G110" s="485">
        <f t="shared" si="20"/>
        <v>178954.5</v>
      </c>
      <c r="H110" s="486">
        <f t="shared" si="21"/>
        <v>26314.732380549089</v>
      </c>
      <c r="I110" s="542">
        <f t="shared" si="22"/>
        <v>26314.732380549089</v>
      </c>
      <c r="J110" s="478">
        <f t="shared" si="11"/>
        <v>0</v>
      </c>
      <c r="K110" s="478"/>
      <c r="L110" s="487"/>
      <c r="M110" s="478">
        <f t="shared" si="23"/>
        <v>0</v>
      </c>
      <c r="N110" s="487"/>
      <c r="O110" s="478">
        <f t="shared" si="15"/>
        <v>0</v>
      </c>
      <c r="P110" s="478">
        <f t="shared" si="16"/>
        <v>0</v>
      </c>
    </row>
    <row r="111" spans="1:16">
      <c r="B111" s="160" t="str">
        <f t="shared" si="17"/>
        <v/>
      </c>
      <c r="C111" s="472">
        <f>IF(D93="","-",+C110+1)</f>
        <v>2030</v>
      </c>
      <c r="D111" s="347">
        <f>IF(F110+SUM(E$99:E110)=D$92,F110,D$92-SUM(E$99:E110))</f>
        <v>175979</v>
      </c>
      <c r="E111" s="484">
        <f t="shared" si="18"/>
        <v>5951</v>
      </c>
      <c r="F111" s="485">
        <f t="shared" si="19"/>
        <v>170028</v>
      </c>
      <c r="G111" s="485">
        <f t="shared" si="20"/>
        <v>173003.5</v>
      </c>
      <c r="H111" s="486">
        <f t="shared" si="21"/>
        <v>25637.551469218848</v>
      </c>
      <c r="I111" s="542">
        <f t="shared" si="22"/>
        <v>25637.551469218848</v>
      </c>
      <c r="J111" s="478">
        <f t="shared" si="11"/>
        <v>0</v>
      </c>
      <c r="K111" s="478"/>
      <c r="L111" s="487"/>
      <c r="M111" s="478">
        <f t="shared" si="23"/>
        <v>0</v>
      </c>
      <c r="N111" s="487"/>
      <c r="O111" s="478">
        <f t="shared" si="15"/>
        <v>0</v>
      </c>
      <c r="P111" s="478">
        <f t="shared" si="16"/>
        <v>0</v>
      </c>
    </row>
    <row r="112" spans="1:16">
      <c r="B112" s="160" t="str">
        <f t="shared" si="17"/>
        <v/>
      </c>
      <c r="C112" s="472">
        <f>IF(D93="","-",+C111+1)</f>
        <v>2031</v>
      </c>
      <c r="D112" s="347">
        <f>IF(F111+SUM(E$99:E111)=D$92,F111,D$92-SUM(E$99:E111))</f>
        <v>170028</v>
      </c>
      <c r="E112" s="484">
        <f t="shared" si="18"/>
        <v>5951</v>
      </c>
      <c r="F112" s="485">
        <f t="shared" si="19"/>
        <v>164077</v>
      </c>
      <c r="G112" s="485">
        <f t="shared" si="20"/>
        <v>167052.5</v>
      </c>
      <c r="H112" s="486">
        <f t="shared" si="21"/>
        <v>24960.370557888607</v>
      </c>
      <c r="I112" s="542">
        <f t="shared" si="22"/>
        <v>24960.370557888607</v>
      </c>
      <c r="J112" s="478">
        <f t="shared" si="11"/>
        <v>0</v>
      </c>
      <c r="K112" s="478"/>
      <c r="L112" s="487"/>
      <c r="M112" s="478">
        <f t="shared" si="23"/>
        <v>0</v>
      </c>
      <c r="N112" s="487"/>
      <c r="O112" s="478">
        <f t="shared" si="15"/>
        <v>0</v>
      </c>
      <c r="P112" s="478">
        <f t="shared" si="16"/>
        <v>0</v>
      </c>
    </row>
    <row r="113" spans="2:16">
      <c r="B113" s="160" t="str">
        <f t="shared" si="17"/>
        <v/>
      </c>
      <c r="C113" s="472">
        <f>IF(D93="","-",+C112+1)</f>
        <v>2032</v>
      </c>
      <c r="D113" s="347">
        <f>IF(F112+SUM(E$99:E112)=D$92,F112,D$92-SUM(E$99:E112))</f>
        <v>164077</v>
      </c>
      <c r="E113" s="484">
        <f t="shared" si="18"/>
        <v>5951</v>
      </c>
      <c r="F113" s="485">
        <f t="shared" si="19"/>
        <v>158126</v>
      </c>
      <c r="G113" s="485">
        <f t="shared" si="20"/>
        <v>161101.5</v>
      </c>
      <c r="H113" s="486">
        <f t="shared" si="21"/>
        <v>24283.189646558367</v>
      </c>
      <c r="I113" s="542">
        <f t="shared" si="22"/>
        <v>24283.189646558367</v>
      </c>
      <c r="J113" s="478">
        <f t="shared" si="11"/>
        <v>0</v>
      </c>
      <c r="K113" s="478"/>
      <c r="L113" s="487"/>
      <c r="M113" s="478">
        <f t="shared" si="23"/>
        <v>0</v>
      </c>
      <c r="N113" s="487"/>
      <c r="O113" s="478">
        <f t="shared" si="15"/>
        <v>0</v>
      </c>
      <c r="P113" s="478">
        <f t="shared" si="16"/>
        <v>0</v>
      </c>
    </row>
    <row r="114" spans="2:16">
      <c r="B114" s="160" t="str">
        <f t="shared" si="17"/>
        <v/>
      </c>
      <c r="C114" s="472">
        <f>IF(D93="","-",+C113+1)</f>
        <v>2033</v>
      </c>
      <c r="D114" s="347">
        <f>IF(F113+SUM(E$99:E113)=D$92,F113,D$92-SUM(E$99:E113))</f>
        <v>158126</v>
      </c>
      <c r="E114" s="484">
        <f t="shared" si="18"/>
        <v>5951</v>
      </c>
      <c r="F114" s="485">
        <f t="shared" si="19"/>
        <v>152175</v>
      </c>
      <c r="G114" s="485">
        <f t="shared" si="20"/>
        <v>155150.5</v>
      </c>
      <c r="H114" s="486">
        <f t="shared" si="21"/>
        <v>23606.008735228126</v>
      </c>
      <c r="I114" s="542">
        <f t="shared" si="22"/>
        <v>23606.008735228126</v>
      </c>
      <c r="J114" s="478">
        <f t="shared" si="11"/>
        <v>0</v>
      </c>
      <c r="K114" s="478"/>
      <c r="L114" s="487"/>
      <c r="M114" s="478">
        <f t="shared" si="23"/>
        <v>0</v>
      </c>
      <c r="N114" s="487"/>
      <c r="O114" s="478">
        <f t="shared" si="15"/>
        <v>0</v>
      </c>
      <c r="P114" s="478">
        <f t="shared" si="16"/>
        <v>0</v>
      </c>
    </row>
    <row r="115" spans="2:16">
      <c r="B115" s="160" t="str">
        <f t="shared" si="17"/>
        <v/>
      </c>
      <c r="C115" s="472">
        <f>IF(D93="","-",+C114+1)</f>
        <v>2034</v>
      </c>
      <c r="D115" s="347">
        <f>IF(F114+SUM(E$99:E114)=D$92,F114,D$92-SUM(E$99:E114))</f>
        <v>152175</v>
      </c>
      <c r="E115" s="484">
        <f t="shared" si="18"/>
        <v>5951</v>
      </c>
      <c r="F115" s="485">
        <f t="shared" si="19"/>
        <v>146224</v>
      </c>
      <c r="G115" s="485">
        <f t="shared" si="20"/>
        <v>149199.5</v>
      </c>
      <c r="H115" s="486">
        <f t="shared" si="21"/>
        <v>22928.827823897886</v>
      </c>
      <c r="I115" s="542">
        <f t="shared" si="22"/>
        <v>22928.827823897886</v>
      </c>
      <c r="J115" s="478">
        <f t="shared" si="11"/>
        <v>0</v>
      </c>
      <c r="K115" s="478"/>
      <c r="L115" s="487"/>
      <c r="M115" s="478">
        <f t="shared" si="23"/>
        <v>0</v>
      </c>
      <c r="N115" s="487"/>
      <c r="O115" s="478">
        <f t="shared" si="15"/>
        <v>0</v>
      </c>
      <c r="P115" s="478">
        <f t="shared" si="16"/>
        <v>0</v>
      </c>
    </row>
    <row r="116" spans="2:16">
      <c r="B116" s="160" t="str">
        <f t="shared" si="17"/>
        <v/>
      </c>
      <c r="C116" s="472">
        <f>IF(D93="","-",+C115+1)</f>
        <v>2035</v>
      </c>
      <c r="D116" s="347">
        <f>IF(F115+SUM(E$99:E115)=D$92,F115,D$92-SUM(E$99:E115))</f>
        <v>146224</v>
      </c>
      <c r="E116" s="484">
        <f t="shared" si="18"/>
        <v>5951</v>
      </c>
      <c r="F116" s="485">
        <f t="shared" si="19"/>
        <v>140273</v>
      </c>
      <c r="G116" s="485">
        <f t="shared" si="20"/>
        <v>143248.5</v>
      </c>
      <c r="H116" s="486">
        <f t="shared" si="21"/>
        <v>22251.646912567645</v>
      </c>
      <c r="I116" s="542">
        <f t="shared" si="22"/>
        <v>22251.646912567645</v>
      </c>
      <c r="J116" s="478">
        <f t="shared" si="11"/>
        <v>0</v>
      </c>
      <c r="K116" s="478"/>
      <c r="L116" s="487"/>
      <c r="M116" s="478">
        <f t="shared" si="23"/>
        <v>0</v>
      </c>
      <c r="N116" s="487"/>
      <c r="O116" s="478">
        <f t="shared" si="15"/>
        <v>0</v>
      </c>
      <c r="P116" s="478">
        <f t="shared" si="16"/>
        <v>0</v>
      </c>
    </row>
    <row r="117" spans="2:16">
      <c r="B117" s="160" t="str">
        <f t="shared" si="17"/>
        <v/>
      </c>
      <c r="C117" s="472">
        <f>IF(D93="","-",+C116+1)</f>
        <v>2036</v>
      </c>
      <c r="D117" s="347">
        <f>IF(F116+SUM(E$99:E116)=D$92,F116,D$92-SUM(E$99:E116))</f>
        <v>140273</v>
      </c>
      <c r="E117" s="484">
        <f t="shared" si="18"/>
        <v>5951</v>
      </c>
      <c r="F117" s="485">
        <f t="shared" si="19"/>
        <v>134322</v>
      </c>
      <c r="G117" s="485">
        <f t="shared" si="20"/>
        <v>137297.5</v>
      </c>
      <c r="H117" s="486">
        <f t="shared" si="21"/>
        <v>21574.466001237401</v>
      </c>
      <c r="I117" s="542">
        <f t="shared" si="22"/>
        <v>21574.466001237401</v>
      </c>
      <c r="J117" s="478">
        <f t="shared" si="11"/>
        <v>0</v>
      </c>
      <c r="K117" s="478"/>
      <c r="L117" s="487"/>
      <c r="M117" s="478">
        <f t="shared" si="23"/>
        <v>0</v>
      </c>
      <c r="N117" s="487"/>
      <c r="O117" s="478">
        <f t="shared" si="15"/>
        <v>0</v>
      </c>
      <c r="P117" s="478">
        <f t="shared" si="16"/>
        <v>0</v>
      </c>
    </row>
    <row r="118" spans="2:16">
      <c r="B118" s="160" t="str">
        <f t="shared" si="17"/>
        <v/>
      </c>
      <c r="C118" s="472">
        <f>IF(D93="","-",+C117+1)</f>
        <v>2037</v>
      </c>
      <c r="D118" s="347">
        <f>IF(F117+SUM(E$99:E117)=D$92,F117,D$92-SUM(E$99:E117))</f>
        <v>134322</v>
      </c>
      <c r="E118" s="484">
        <f t="shared" si="18"/>
        <v>5951</v>
      </c>
      <c r="F118" s="485">
        <f t="shared" si="19"/>
        <v>128371</v>
      </c>
      <c r="G118" s="485">
        <f t="shared" si="20"/>
        <v>131346.5</v>
      </c>
      <c r="H118" s="486">
        <f t="shared" si="21"/>
        <v>20897.285089907164</v>
      </c>
      <c r="I118" s="542">
        <f t="shared" si="22"/>
        <v>20897.285089907164</v>
      </c>
      <c r="J118" s="478">
        <f t="shared" si="11"/>
        <v>0</v>
      </c>
      <c r="K118" s="478"/>
      <c r="L118" s="487"/>
      <c r="M118" s="478">
        <f t="shared" si="23"/>
        <v>0</v>
      </c>
      <c r="N118" s="487"/>
      <c r="O118" s="478">
        <f t="shared" si="15"/>
        <v>0</v>
      </c>
      <c r="P118" s="478">
        <f t="shared" si="16"/>
        <v>0</v>
      </c>
    </row>
    <row r="119" spans="2:16">
      <c r="B119" s="160" t="str">
        <f t="shared" si="17"/>
        <v/>
      </c>
      <c r="C119" s="472">
        <f>IF(D93="","-",+C118+1)</f>
        <v>2038</v>
      </c>
      <c r="D119" s="347">
        <f>IF(F118+SUM(E$99:E118)=D$92,F118,D$92-SUM(E$99:E118))</f>
        <v>128371</v>
      </c>
      <c r="E119" s="484">
        <f t="shared" si="18"/>
        <v>5951</v>
      </c>
      <c r="F119" s="485">
        <f t="shared" si="19"/>
        <v>122420</v>
      </c>
      <c r="G119" s="485">
        <f t="shared" si="20"/>
        <v>125395.5</v>
      </c>
      <c r="H119" s="486">
        <f t="shared" si="21"/>
        <v>20220.104178576919</v>
      </c>
      <c r="I119" s="542">
        <f t="shared" si="22"/>
        <v>20220.104178576919</v>
      </c>
      <c r="J119" s="478">
        <f t="shared" si="11"/>
        <v>0</v>
      </c>
      <c r="K119" s="478"/>
      <c r="L119" s="487"/>
      <c r="M119" s="478">
        <f t="shared" si="23"/>
        <v>0</v>
      </c>
      <c r="N119" s="487"/>
      <c r="O119" s="478">
        <f t="shared" si="15"/>
        <v>0</v>
      </c>
      <c r="P119" s="478">
        <f t="shared" si="16"/>
        <v>0</v>
      </c>
    </row>
    <row r="120" spans="2:16">
      <c r="B120" s="160" t="str">
        <f t="shared" si="17"/>
        <v/>
      </c>
      <c r="C120" s="472">
        <f>IF(D93="","-",+C119+1)</f>
        <v>2039</v>
      </c>
      <c r="D120" s="347">
        <f>IF(F119+SUM(E$99:E119)=D$92,F119,D$92-SUM(E$99:E119))</f>
        <v>122420</v>
      </c>
      <c r="E120" s="484">
        <f t="shared" si="18"/>
        <v>5951</v>
      </c>
      <c r="F120" s="485">
        <f t="shared" si="19"/>
        <v>116469</v>
      </c>
      <c r="G120" s="485">
        <f t="shared" si="20"/>
        <v>119444.5</v>
      </c>
      <c r="H120" s="486">
        <f t="shared" si="21"/>
        <v>19542.923267246679</v>
      </c>
      <c r="I120" s="542">
        <f t="shared" si="22"/>
        <v>19542.923267246679</v>
      </c>
      <c r="J120" s="478">
        <f t="shared" si="11"/>
        <v>0</v>
      </c>
      <c r="K120" s="478"/>
      <c r="L120" s="487"/>
      <c r="M120" s="478">
        <f t="shared" si="23"/>
        <v>0</v>
      </c>
      <c r="N120" s="487"/>
      <c r="O120" s="478">
        <f t="shared" si="15"/>
        <v>0</v>
      </c>
      <c r="P120" s="478">
        <f t="shared" si="16"/>
        <v>0</v>
      </c>
    </row>
    <row r="121" spans="2:16">
      <c r="B121" s="160" t="str">
        <f t="shared" si="17"/>
        <v/>
      </c>
      <c r="C121" s="472">
        <f>IF(D93="","-",+C120+1)</f>
        <v>2040</v>
      </c>
      <c r="D121" s="347">
        <f>IF(F120+SUM(E$99:E120)=D$92,F120,D$92-SUM(E$99:E120))</f>
        <v>116469</v>
      </c>
      <c r="E121" s="484">
        <f t="shared" si="18"/>
        <v>5951</v>
      </c>
      <c r="F121" s="485">
        <f t="shared" si="19"/>
        <v>110518</v>
      </c>
      <c r="G121" s="485">
        <f t="shared" si="20"/>
        <v>113493.5</v>
      </c>
      <c r="H121" s="486">
        <f t="shared" si="21"/>
        <v>18865.742355916438</v>
      </c>
      <c r="I121" s="542">
        <f t="shared" si="22"/>
        <v>18865.742355916438</v>
      </c>
      <c r="J121" s="478">
        <f t="shared" si="11"/>
        <v>0</v>
      </c>
      <c r="K121" s="478"/>
      <c r="L121" s="487"/>
      <c r="M121" s="478">
        <f t="shared" si="23"/>
        <v>0</v>
      </c>
      <c r="N121" s="487"/>
      <c r="O121" s="478">
        <f t="shared" si="15"/>
        <v>0</v>
      </c>
      <c r="P121" s="478">
        <f t="shared" si="16"/>
        <v>0</v>
      </c>
    </row>
    <row r="122" spans="2:16">
      <c r="B122" s="160" t="str">
        <f t="shared" si="17"/>
        <v/>
      </c>
      <c r="C122" s="472">
        <f>IF(D93="","-",+C121+1)</f>
        <v>2041</v>
      </c>
      <c r="D122" s="347">
        <f>IF(F121+SUM(E$99:E121)=D$92,F121,D$92-SUM(E$99:E121))</f>
        <v>110518</v>
      </c>
      <c r="E122" s="484">
        <f t="shared" si="18"/>
        <v>5951</v>
      </c>
      <c r="F122" s="485">
        <f t="shared" si="19"/>
        <v>104567</v>
      </c>
      <c r="G122" s="485">
        <f t="shared" si="20"/>
        <v>107542.5</v>
      </c>
      <c r="H122" s="486">
        <f t="shared" si="21"/>
        <v>18188.561444586194</v>
      </c>
      <c r="I122" s="542">
        <f t="shared" si="22"/>
        <v>18188.561444586194</v>
      </c>
      <c r="J122" s="478">
        <f t="shared" si="11"/>
        <v>0</v>
      </c>
      <c r="K122" s="478"/>
      <c r="L122" s="487"/>
      <c r="M122" s="478">
        <f t="shared" si="23"/>
        <v>0</v>
      </c>
      <c r="N122" s="487"/>
      <c r="O122" s="478">
        <f t="shared" si="15"/>
        <v>0</v>
      </c>
      <c r="P122" s="478">
        <f t="shared" si="16"/>
        <v>0</v>
      </c>
    </row>
    <row r="123" spans="2:16">
      <c r="B123" s="160" t="str">
        <f t="shared" si="17"/>
        <v/>
      </c>
      <c r="C123" s="472">
        <f>IF(D93="","-",+C122+1)</f>
        <v>2042</v>
      </c>
      <c r="D123" s="347">
        <f>IF(F122+SUM(E$99:E122)=D$92,F122,D$92-SUM(E$99:E122))</f>
        <v>104567</v>
      </c>
      <c r="E123" s="484">
        <f t="shared" si="18"/>
        <v>5951</v>
      </c>
      <c r="F123" s="485">
        <f t="shared" si="19"/>
        <v>98616</v>
      </c>
      <c r="G123" s="485">
        <f t="shared" si="20"/>
        <v>101591.5</v>
      </c>
      <c r="H123" s="486">
        <f t="shared" si="21"/>
        <v>17511.380533255957</v>
      </c>
      <c r="I123" s="542">
        <f t="shared" si="22"/>
        <v>17511.380533255957</v>
      </c>
      <c r="J123" s="478">
        <f t="shared" si="11"/>
        <v>0</v>
      </c>
      <c r="K123" s="478"/>
      <c r="L123" s="487"/>
      <c r="M123" s="478">
        <f t="shared" si="23"/>
        <v>0</v>
      </c>
      <c r="N123" s="487"/>
      <c r="O123" s="478">
        <f t="shared" si="15"/>
        <v>0</v>
      </c>
      <c r="P123" s="478">
        <f t="shared" si="16"/>
        <v>0</v>
      </c>
    </row>
    <row r="124" spans="2:16">
      <c r="B124" s="160" t="str">
        <f t="shared" si="17"/>
        <v/>
      </c>
      <c r="C124" s="472">
        <f>IF(D93="","-",+C123+1)</f>
        <v>2043</v>
      </c>
      <c r="D124" s="347">
        <f>IF(F123+SUM(E$99:E123)=D$92,F123,D$92-SUM(E$99:E123))</f>
        <v>98616</v>
      </c>
      <c r="E124" s="484">
        <f t="shared" si="18"/>
        <v>5951</v>
      </c>
      <c r="F124" s="485">
        <f t="shared" si="19"/>
        <v>92665</v>
      </c>
      <c r="G124" s="485">
        <f t="shared" si="20"/>
        <v>95640.5</v>
      </c>
      <c r="H124" s="486">
        <f t="shared" si="21"/>
        <v>16834.199621925713</v>
      </c>
      <c r="I124" s="542">
        <f t="shared" si="22"/>
        <v>16834.199621925713</v>
      </c>
      <c r="J124" s="478">
        <f t="shared" si="11"/>
        <v>0</v>
      </c>
      <c r="K124" s="478"/>
      <c r="L124" s="487"/>
      <c r="M124" s="478">
        <f t="shared" si="23"/>
        <v>0</v>
      </c>
      <c r="N124" s="487"/>
      <c r="O124" s="478">
        <f t="shared" si="15"/>
        <v>0</v>
      </c>
      <c r="P124" s="478">
        <f t="shared" si="16"/>
        <v>0</v>
      </c>
    </row>
    <row r="125" spans="2:16">
      <c r="B125" s="160" t="str">
        <f t="shared" si="17"/>
        <v/>
      </c>
      <c r="C125" s="472">
        <f>IF(D93="","-",+C124+1)</f>
        <v>2044</v>
      </c>
      <c r="D125" s="347">
        <f>IF(F124+SUM(E$99:E124)=D$92,F124,D$92-SUM(E$99:E124))</f>
        <v>92665</v>
      </c>
      <c r="E125" s="484">
        <f t="shared" si="18"/>
        <v>5951</v>
      </c>
      <c r="F125" s="485">
        <f t="shared" si="19"/>
        <v>86714</v>
      </c>
      <c r="G125" s="485">
        <f t="shared" si="20"/>
        <v>89689.5</v>
      </c>
      <c r="H125" s="486">
        <f t="shared" si="21"/>
        <v>16157.018710595474</v>
      </c>
      <c r="I125" s="542">
        <f t="shared" si="22"/>
        <v>16157.018710595474</v>
      </c>
      <c r="J125" s="478">
        <f t="shared" si="11"/>
        <v>0</v>
      </c>
      <c r="K125" s="478"/>
      <c r="L125" s="487"/>
      <c r="M125" s="478">
        <f t="shared" si="23"/>
        <v>0</v>
      </c>
      <c r="N125" s="487"/>
      <c r="O125" s="478">
        <f t="shared" si="15"/>
        <v>0</v>
      </c>
      <c r="P125" s="478">
        <f t="shared" si="16"/>
        <v>0</v>
      </c>
    </row>
    <row r="126" spans="2:16">
      <c r="B126" s="160" t="str">
        <f t="shared" si="17"/>
        <v/>
      </c>
      <c r="C126" s="472">
        <f>IF(D93="","-",+C125+1)</f>
        <v>2045</v>
      </c>
      <c r="D126" s="347">
        <f>IF(F125+SUM(E$99:E125)=D$92,F125,D$92-SUM(E$99:E125))</f>
        <v>86714</v>
      </c>
      <c r="E126" s="484">
        <f t="shared" si="18"/>
        <v>5951</v>
      </c>
      <c r="F126" s="485">
        <f t="shared" si="19"/>
        <v>80763</v>
      </c>
      <c r="G126" s="485">
        <f t="shared" si="20"/>
        <v>83738.5</v>
      </c>
      <c r="H126" s="486">
        <f t="shared" si="21"/>
        <v>15479.837799265231</v>
      </c>
      <c r="I126" s="542">
        <f t="shared" si="22"/>
        <v>15479.837799265231</v>
      </c>
      <c r="J126" s="478">
        <f t="shared" si="11"/>
        <v>0</v>
      </c>
      <c r="K126" s="478"/>
      <c r="L126" s="487"/>
      <c r="M126" s="478">
        <f t="shared" si="23"/>
        <v>0</v>
      </c>
      <c r="N126" s="487"/>
      <c r="O126" s="478">
        <f t="shared" si="15"/>
        <v>0</v>
      </c>
      <c r="P126" s="478">
        <f t="shared" si="16"/>
        <v>0</v>
      </c>
    </row>
    <row r="127" spans="2:16">
      <c r="B127" s="160" t="str">
        <f t="shared" si="17"/>
        <v/>
      </c>
      <c r="C127" s="472">
        <f>IF(D93="","-",+C126+1)</f>
        <v>2046</v>
      </c>
      <c r="D127" s="347">
        <f>IF(F126+SUM(E$99:E126)=D$92,F126,D$92-SUM(E$99:E126))</f>
        <v>80763</v>
      </c>
      <c r="E127" s="484">
        <f t="shared" si="18"/>
        <v>5951</v>
      </c>
      <c r="F127" s="485">
        <f t="shared" si="19"/>
        <v>74812</v>
      </c>
      <c r="G127" s="485">
        <f t="shared" si="20"/>
        <v>77787.5</v>
      </c>
      <c r="H127" s="486">
        <f t="shared" si="21"/>
        <v>14802.656887934991</v>
      </c>
      <c r="I127" s="542">
        <f t="shared" si="22"/>
        <v>14802.656887934991</v>
      </c>
      <c r="J127" s="478">
        <f t="shared" si="11"/>
        <v>0</v>
      </c>
      <c r="K127" s="478"/>
      <c r="L127" s="487"/>
      <c r="M127" s="478">
        <f t="shared" si="23"/>
        <v>0</v>
      </c>
      <c r="N127" s="487"/>
      <c r="O127" s="478">
        <f t="shared" si="15"/>
        <v>0</v>
      </c>
      <c r="P127" s="478">
        <f t="shared" si="16"/>
        <v>0</v>
      </c>
    </row>
    <row r="128" spans="2:16">
      <c r="B128" s="160" t="str">
        <f t="shared" si="17"/>
        <v/>
      </c>
      <c r="C128" s="472">
        <f>IF(D93="","-",+C127+1)</f>
        <v>2047</v>
      </c>
      <c r="D128" s="347">
        <f>IF(F127+SUM(E$99:E127)=D$92,F127,D$92-SUM(E$99:E127))</f>
        <v>74812</v>
      </c>
      <c r="E128" s="484">
        <f t="shared" si="18"/>
        <v>5951</v>
      </c>
      <c r="F128" s="485">
        <f t="shared" si="19"/>
        <v>68861</v>
      </c>
      <c r="G128" s="485">
        <f t="shared" si="20"/>
        <v>71836.5</v>
      </c>
      <c r="H128" s="486">
        <f t="shared" si="21"/>
        <v>14125.47597660475</v>
      </c>
      <c r="I128" s="542">
        <f t="shared" si="22"/>
        <v>14125.47597660475</v>
      </c>
      <c r="J128" s="478">
        <f t="shared" si="11"/>
        <v>0</v>
      </c>
      <c r="K128" s="478"/>
      <c r="L128" s="487"/>
      <c r="M128" s="478">
        <f t="shared" si="23"/>
        <v>0</v>
      </c>
      <c r="N128" s="487"/>
      <c r="O128" s="478">
        <f t="shared" si="15"/>
        <v>0</v>
      </c>
      <c r="P128" s="478">
        <f t="shared" si="16"/>
        <v>0</v>
      </c>
    </row>
    <row r="129" spans="2:16">
      <c r="B129" s="160" t="str">
        <f t="shared" si="17"/>
        <v/>
      </c>
      <c r="C129" s="472">
        <f>IF(D93="","-",+C128+1)</f>
        <v>2048</v>
      </c>
      <c r="D129" s="347">
        <f>IF(F128+SUM(E$99:E128)=D$92,F128,D$92-SUM(E$99:E128))</f>
        <v>68861</v>
      </c>
      <c r="E129" s="484">
        <f t="shared" si="18"/>
        <v>5951</v>
      </c>
      <c r="F129" s="485">
        <f t="shared" si="19"/>
        <v>62910</v>
      </c>
      <c r="G129" s="485">
        <f t="shared" si="20"/>
        <v>65885.5</v>
      </c>
      <c r="H129" s="486">
        <f t="shared" si="21"/>
        <v>13448.295065274509</v>
      </c>
      <c r="I129" s="542">
        <f t="shared" si="22"/>
        <v>13448.295065274509</v>
      </c>
      <c r="J129" s="478">
        <f t="shared" si="11"/>
        <v>0</v>
      </c>
      <c r="K129" s="478"/>
      <c r="L129" s="487"/>
      <c r="M129" s="478">
        <f t="shared" si="23"/>
        <v>0</v>
      </c>
      <c r="N129" s="487"/>
      <c r="O129" s="478">
        <f t="shared" si="15"/>
        <v>0</v>
      </c>
      <c r="P129" s="478">
        <f t="shared" si="16"/>
        <v>0</v>
      </c>
    </row>
    <row r="130" spans="2:16">
      <c r="B130" s="160" t="str">
        <f t="shared" si="17"/>
        <v/>
      </c>
      <c r="C130" s="472">
        <f>IF(D93="","-",+C129+1)</f>
        <v>2049</v>
      </c>
      <c r="D130" s="347">
        <f>IF(F129+SUM(E$99:E129)=D$92,F129,D$92-SUM(E$99:E129))</f>
        <v>62910</v>
      </c>
      <c r="E130" s="484">
        <f t="shared" si="18"/>
        <v>5951</v>
      </c>
      <c r="F130" s="485">
        <f t="shared" si="19"/>
        <v>56959</v>
      </c>
      <c r="G130" s="485">
        <f t="shared" si="20"/>
        <v>59934.5</v>
      </c>
      <c r="H130" s="486">
        <f t="shared" si="21"/>
        <v>12771.114153944269</v>
      </c>
      <c r="I130" s="542">
        <f t="shared" si="22"/>
        <v>12771.114153944269</v>
      </c>
      <c r="J130" s="478">
        <f t="shared" si="11"/>
        <v>0</v>
      </c>
      <c r="K130" s="478"/>
      <c r="L130" s="487"/>
      <c r="M130" s="478">
        <f t="shared" si="23"/>
        <v>0</v>
      </c>
      <c r="N130" s="487"/>
      <c r="O130" s="478">
        <f t="shared" si="15"/>
        <v>0</v>
      </c>
      <c r="P130" s="478">
        <f t="shared" si="16"/>
        <v>0</v>
      </c>
    </row>
    <row r="131" spans="2:16">
      <c r="B131" s="160" t="str">
        <f t="shared" si="17"/>
        <v/>
      </c>
      <c r="C131" s="472">
        <f>IF(D93="","-",+C130+1)</f>
        <v>2050</v>
      </c>
      <c r="D131" s="347">
        <f>IF(F130+SUM(E$99:E130)=D$92,F130,D$92-SUM(E$99:E130))</f>
        <v>56959</v>
      </c>
      <c r="E131" s="484">
        <f t="shared" si="18"/>
        <v>5951</v>
      </c>
      <c r="F131" s="485">
        <f t="shared" si="19"/>
        <v>51008</v>
      </c>
      <c r="G131" s="485">
        <f t="shared" si="20"/>
        <v>53983.5</v>
      </c>
      <c r="H131" s="486">
        <f t="shared" si="21"/>
        <v>12093.933242614026</v>
      </c>
      <c r="I131" s="542">
        <f t="shared" si="22"/>
        <v>12093.933242614026</v>
      </c>
      <c r="J131" s="478">
        <f t="shared" ref="J131:J154" si="24">+I541-H541</f>
        <v>0</v>
      </c>
      <c r="K131" s="478"/>
      <c r="L131" s="487"/>
      <c r="M131" s="478">
        <f t="shared" ref="M131:M154" si="25">IF(L541&lt;&gt;0,+H541-L541,0)</f>
        <v>0</v>
      </c>
      <c r="N131" s="487"/>
      <c r="O131" s="478">
        <f t="shared" ref="O131:O154" si="26">IF(N541&lt;&gt;0,+I541-N541,0)</f>
        <v>0</v>
      </c>
      <c r="P131" s="478">
        <f t="shared" ref="P131:P154" si="27">+O541-M541</f>
        <v>0</v>
      </c>
    </row>
    <row r="132" spans="2:16">
      <c r="B132" s="160" t="str">
        <f t="shared" si="17"/>
        <v/>
      </c>
      <c r="C132" s="472">
        <f>IF(D93="","-",+C131+1)</f>
        <v>2051</v>
      </c>
      <c r="D132" s="347">
        <f>IF(F131+SUM(E$99:E131)=D$92,F131,D$92-SUM(E$99:E131))</f>
        <v>51008</v>
      </c>
      <c r="E132" s="484">
        <f t="shared" si="18"/>
        <v>5951</v>
      </c>
      <c r="F132" s="485">
        <f t="shared" si="19"/>
        <v>45057</v>
      </c>
      <c r="G132" s="485">
        <f t="shared" si="20"/>
        <v>48032.5</v>
      </c>
      <c r="H132" s="486">
        <f t="shared" si="21"/>
        <v>11416.752331283786</v>
      </c>
      <c r="I132" s="542">
        <f t="shared" si="22"/>
        <v>11416.752331283786</v>
      </c>
      <c r="J132" s="478">
        <f t="shared" si="24"/>
        <v>0</v>
      </c>
      <c r="K132" s="478"/>
      <c r="L132" s="487"/>
      <c r="M132" s="478">
        <f t="shared" si="25"/>
        <v>0</v>
      </c>
      <c r="N132" s="487"/>
      <c r="O132" s="478">
        <f t="shared" si="26"/>
        <v>0</v>
      </c>
      <c r="P132" s="478">
        <f t="shared" si="27"/>
        <v>0</v>
      </c>
    </row>
    <row r="133" spans="2:16">
      <c r="B133" s="160" t="str">
        <f t="shared" si="17"/>
        <v/>
      </c>
      <c r="C133" s="472">
        <f>IF(D93="","-",+C132+1)</f>
        <v>2052</v>
      </c>
      <c r="D133" s="347">
        <f>IF(F132+SUM(E$99:E132)=D$92,F132,D$92-SUM(E$99:E132))</f>
        <v>45057</v>
      </c>
      <c r="E133" s="484">
        <f t="shared" si="18"/>
        <v>5951</v>
      </c>
      <c r="F133" s="485">
        <f t="shared" si="19"/>
        <v>39106</v>
      </c>
      <c r="G133" s="485">
        <f t="shared" si="20"/>
        <v>42081.5</v>
      </c>
      <c r="H133" s="486">
        <f t="shared" si="21"/>
        <v>10739.571419953543</v>
      </c>
      <c r="I133" s="542">
        <f t="shared" si="22"/>
        <v>10739.571419953543</v>
      </c>
      <c r="J133" s="478">
        <f t="shared" si="24"/>
        <v>0</v>
      </c>
      <c r="K133" s="478"/>
      <c r="L133" s="487"/>
      <c r="M133" s="478">
        <f t="shared" si="25"/>
        <v>0</v>
      </c>
      <c r="N133" s="487"/>
      <c r="O133" s="478">
        <f t="shared" si="26"/>
        <v>0</v>
      </c>
      <c r="P133" s="478">
        <f t="shared" si="27"/>
        <v>0</v>
      </c>
    </row>
    <row r="134" spans="2:16">
      <c r="B134" s="160" t="str">
        <f t="shared" si="17"/>
        <v/>
      </c>
      <c r="C134" s="472">
        <f>IF(D93="","-",+C133+1)</f>
        <v>2053</v>
      </c>
      <c r="D134" s="347">
        <f>IF(F133+SUM(E$99:E133)=D$92,F133,D$92-SUM(E$99:E133))</f>
        <v>39106</v>
      </c>
      <c r="E134" s="484">
        <f t="shared" si="18"/>
        <v>5951</v>
      </c>
      <c r="F134" s="485">
        <f t="shared" si="19"/>
        <v>33155</v>
      </c>
      <c r="G134" s="485">
        <f t="shared" si="20"/>
        <v>36130.5</v>
      </c>
      <c r="H134" s="486">
        <f t="shared" si="21"/>
        <v>10062.390508623303</v>
      </c>
      <c r="I134" s="542">
        <f t="shared" si="22"/>
        <v>10062.390508623303</v>
      </c>
      <c r="J134" s="478">
        <f t="shared" si="24"/>
        <v>0</v>
      </c>
      <c r="K134" s="478"/>
      <c r="L134" s="487"/>
      <c r="M134" s="478">
        <f t="shared" si="25"/>
        <v>0</v>
      </c>
      <c r="N134" s="487"/>
      <c r="O134" s="478">
        <f t="shared" si="26"/>
        <v>0</v>
      </c>
      <c r="P134" s="478">
        <f t="shared" si="27"/>
        <v>0</v>
      </c>
    </row>
    <row r="135" spans="2:16">
      <c r="B135" s="160" t="str">
        <f t="shared" si="17"/>
        <v/>
      </c>
      <c r="C135" s="472">
        <f>IF(D93="","-",+C134+1)</f>
        <v>2054</v>
      </c>
      <c r="D135" s="347">
        <f>IF(F134+SUM(E$99:E134)=D$92,F134,D$92-SUM(E$99:E134))</f>
        <v>33155</v>
      </c>
      <c r="E135" s="484">
        <f t="shared" si="18"/>
        <v>5951</v>
      </c>
      <c r="F135" s="485">
        <f t="shared" si="19"/>
        <v>27204</v>
      </c>
      <c r="G135" s="485">
        <f t="shared" si="20"/>
        <v>30179.5</v>
      </c>
      <c r="H135" s="486">
        <f t="shared" si="21"/>
        <v>9385.209597293062</v>
      </c>
      <c r="I135" s="542">
        <f t="shared" si="22"/>
        <v>9385.209597293062</v>
      </c>
      <c r="J135" s="478">
        <f t="shared" si="24"/>
        <v>0</v>
      </c>
      <c r="K135" s="478"/>
      <c r="L135" s="487"/>
      <c r="M135" s="478">
        <f t="shared" si="25"/>
        <v>0</v>
      </c>
      <c r="N135" s="487"/>
      <c r="O135" s="478">
        <f t="shared" si="26"/>
        <v>0</v>
      </c>
      <c r="P135" s="478">
        <f t="shared" si="27"/>
        <v>0</v>
      </c>
    </row>
    <row r="136" spans="2:16">
      <c r="B136" s="160" t="str">
        <f t="shared" si="17"/>
        <v/>
      </c>
      <c r="C136" s="472">
        <f>IF(D93="","-",+C135+1)</f>
        <v>2055</v>
      </c>
      <c r="D136" s="347">
        <f>IF(F135+SUM(E$99:E135)=D$92,F135,D$92-SUM(E$99:E135))</f>
        <v>27204</v>
      </c>
      <c r="E136" s="484">
        <f t="shared" si="18"/>
        <v>5951</v>
      </c>
      <c r="F136" s="485">
        <f t="shared" si="19"/>
        <v>21253</v>
      </c>
      <c r="G136" s="485">
        <f t="shared" si="20"/>
        <v>24228.5</v>
      </c>
      <c r="H136" s="486">
        <f t="shared" si="21"/>
        <v>8708.0286859628213</v>
      </c>
      <c r="I136" s="542">
        <f t="shared" si="22"/>
        <v>8708.0286859628213</v>
      </c>
      <c r="J136" s="478">
        <f t="shared" si="24"/>
        <v>0</v>
      </c>
      <c r="K136" s="478"/>
      <c r="L136" s="487"/>
      <c r="M136" s="478">
        <f t="shared" si="25"/>
        <v>0</v>
      </c>
      <c r="N136" s="487"/>
      <c r="O136" s="478">
        <f t="shared" si="26"/>
        <v>0</v>
      </c>
      <c r="P136" s="478">
        <f t="shared" si="27"/>
        <v>0</v>
      </c>
    </row>
    <row r="137" spans="2:16">
      <c r="B137" s="160" t="str">
        <f t="shared" si="17"/>
        <v/>
      </c>
      <c r="C137" s="472">
        <f>IF(D93="","-",+C136+1)</f>
        <v>2056</v>
      </c>
      <c r="D137" s="347">
        <f>IF(F136+SUM(E$99:E136)=D$92,F136,D$92-SUM(E$99:E136))</f>
        <v>21253</v>
      </c>
      <c r="E137" s="484">
        <f t="shared" si="18"/>
        <v>5951</v>
      </c>
      <c r="F137" s="485">
        <f t="shared" si="19"/>
        <v>15302</v>
      </c>
      <c r="G137" s="485">
        <f t="shared" si="20"/>
        <v>18277.5</v>
      </c>
      <c r="H137" s="486">
        <f t="shared" si="21"/>
        <v>8030.8477746325798</v>
      </c>
      <c r="I137" s="542">
        <f t="shared" si="22"/>
        <v>8030.8477746325798</v>
      </c>
      <c r="J137" s="478">
        <f t="shared" si="24"/>
        <v>0</v>
      </c>
      <c r="K137" s="478"/>
      <c r="L137" s="487"/>
      <c r="M137" s="478">
        <f t="shared" si="25"/>
        <v>0</v>
      </c>
      <c r="N137" s="487"/>
      <c r="O137" s="478">
        <f t="shared" si="26"/>
        <v>0</v>
      </c>
      <c r="P137" s="478">
        <f t="shared" si="27"/>
        <v>0</v>
      </c>
    </row>
    <row r="138" spans="2:16">
      <c r="B138" s="160" t="str">
        <f t="shared" si="17"/>
        <v/>
      </c>
      <c r="C138" s="472">
        <f>IF(D93="","-",+C137+1)</f>
        <v>2057</v>
      </c>
      <c r="D138" s="347">
        <f>IF(F137+SUM(E$99:E137)=D$92,F137,D$92-SUM(E$99:E137))</f>
        <v>15302</v>
      </c>
      <c r="E138" s="484">
        <f t="shared" si="18"/>
        <v>5951</v>
      </c>
      <c r="F138" s="485">
        <f t="shared" si="19"/>
        <v>9351</v>
      </c>
      <c r="G138" s="485">
        <f t="shared" si="20"/>
        <v>12326.5</v>
      </c>
      <c r="H138" s="486">
        <f t="shared" si="21"/>
        <v>7353.6668633023382</v>
      </c>
      <c r="I138" s="542">
        <f t="shared" si="22"/>
        <v>7353.6668633023382</v>
      </c>
      <c r="J138" s="478">
        <f t="shared" si="24"/>
        <v>0</v>
      </c>
      <c r="K138" s="478"/>
      <c r="L138" s="487"/>
      <c r="M138" s="478">
        <f t="shared" si="25"/>
        <v>0</v>
      </c>
      <c r="N138" s="487"/>
      <c r="O138" s="478">
        <f t="shared" si="26"/>
        <v>0</v>
      </c>
      <c r="P138" s="478">
        <f t="shared" si="27"/>
        <v>0</v>
      </c>
    </row>
    <row r="139" spans="2:16">
      <c r="B139" s="160" t="str">
        <f t="shared" si="17"/>
        <v/>
      </c>
      <c r="C139" s="472">
        <f>IF(D93="","-",+C138+1)</f>
        <v>2058</v>
      </c>
      <c r="D139" s="347">
        <f>IF(F138+SUM(E$99:E138)=D$92,F138,D$92-SUM(E$99:E138))</f>
        <v>9351</v>
      </c>
      <c r="E139" s="484">
        <f t="shared" si="18"/>
        <v>5951</v>
      </c>
      <c r="F139" s="485">
        <f t="shared" si="19"/>
        <v>3400</v>
      </c>
      <c r="G139" s="485">
        <f t="shared" si="20"/>
        <v>6375.5</v>
      </c>
      <c r="H139" s="486">
        <f t="shared" si="21"/>
        <v>6676.4859519720976</v>
      </c>
      <c r="I139" s="542">
        <f t="shared" si="22"/>
        <v>6676.4859519720976</v>
      </c>
      <c r="J139" s="478">
        <f t="shared" si="24"/>
        <v>0</v>
      </c>
      <c r="K139" s="478"/>
      <c r="L139" s="487"/>
      <c r="M139" s="478">
        <f t="shared" si="25"/>
        <v>0</v>
      </c>
      <c r="N139" s="487"/>
      <c r="O139" s="478">
        <f t="shared" si="26"/>
        <v>0</v>
      </c>
      <c r="P139" s="478">
        <f t="shared" si="27"/>
        <v>0</v>
      </c>
    </row>
    <row r="140" spans="2:16">
      <c r="B140" s="160" t="str">
        <f t="shared" si="17"/>
        <v/>
      </c>
      <c r="C140" s="472">
        <f>IF(D93="","-",+C139+1)</f>
        <v>2059</v>
      </c>
      <c r="D140" s="347">
        <f>IF(F139+SUM(E$99:E139)=D$92,F139,D$92-SUM(E$99:E139))</f>
        <v>3400</v>
      </c>
      <c r="E140" s="484">
        <f t="shared" si="18"/>
        <v>3400</v>
      </c>
      <c r="F140" s="485">
        <f t="shared" si="19"/>
        <v>0</v>
      </c>
      <c r="G140" s="485">
        <f t="shared" si="20"/>
        <v>1700</v>
      </c>
      <c r="H140" s="486">
        <f t="shared" si="21"/>
        <v>3593.4477481534886</v>
      </c>
      <c r="I140" s="542">
        <f t="shared" si="22"/>
        <v>3593.4477481534886</v>
      </c>
      <c r="J140" s="478">
        <f t="shared" si="24"/>
        <v>0</v>
      </c>
      <c r="K140" s="478"/>
      <c r="L140" s="487"/>
      <c r="M140" s="478">
        <f t="shared" si="25"/>
        <v>0</v>
      </c>
      <c r="N140" s="487"/>
      <c r="O140" s="478">
        <f t="shared" si="26"/>
        <v>0</v>
      </c>
      <c r="P140" s="478">
        <f t="shared" si="27"/>
        <v>0</v>
      </c>
    </row>
    <row r="141" spans="2:16">
      <c r="B141" s="160" t="str">
        <f t="shared" si="17"/>
        <v/>
      </c>
      <c r="C141" s="472">
        <f>IF(D93="","-",+C140+1)</f>
        <v>2060</v>
      </c>
      <c r="D141" s="347">
        <f>IF(F140+SUM(E$99:E140)=D$92,F140,D$92-SUM(E$99:E140))</f>
        <v>0</v>
      </c>
      <c r="E141" s="484">
        <f t="shared" si="18"/>
        <v>0</v>
      </c>
      <c r="F141" s="485">
        <f t="shared" si="19"/>
        <v>0</v>
      </c>
      <c r="G141" s="485">
        <f t="shared" si="20"/>
        <v>0</v>
      </c>
      <c r="H141" s="486">
        <f t="shared" si="21"/>
        <v>0</v>
      </c>
      <c r="I141" s="542">
        <f t="shared" si="22"/>
        <v>0</v>
      </c>
      <c r="J141" s="478">
        <f t="shared" si="24"/>
        <v>0</v>
      </c>
      <c r="K141" s="478"/>
      <c r="L141" s="487"/>
      <c r="M141" s="478">
        <f t="shared" si="25"/>
        <v>0</v>
      </c>
      <c r="N141" s="487"/>
      <c r="O141" s="478">
        <f t="shared" si="26"/>
        <v>0</v>
      </c>
      <c r="P141" s="478">
        <f t="shared" si="27"/>
        <v>0</v>
      </c>
    </row>
    <row r="142" spans="2:16">
      <c r="B142" s="160" t="str">
        <f t="shared" si="17"/>
        <v/>
      </c>
      <c r="C142" s="472">
        <f>IF(D93="","-",+C141+1)</f>
        <v>2061</v>
      </c>
      <c r="D142" s="347">
        <f>IF(F141+SUM(E$99:E141)=D$92,F141,D$92-SUM(E$99:E141))</f>
        <v>0</v>
      </c>
      <c r="E142" s="484">
        <f t="shared" si="18"/>
        <v>0</v>
      </c>
      <c r="F142" s="485">
        <f t="shared" si="19"/>
        <v>0</v>
      </c>
      <c r="G142" s="485">
        <f t="shared" si="20"/>
        <v>0</v>
      </c>
      <c r="H142" s="486">
        <f t="shared" si="21"/>
        <v>0</v>
      </c>
      <c r="I142" s="542">
        <f t="shared" si="22"/>
        <v>0</v>
      </c>
      <c r="J142" s="478">
        <f t="shared" si="24"/>
        <v>0</v>
      </c>
      <c r="K142" s="478"/>
      <c r="L142" s="487"/>
      <c r="M142" s="478">
        <f t="shared" si="25"/>
        <v>0</v>
      </c>
      <c r="N142" s="487"/>
      <c r="O142" s="478">
        <f t="shared" si="26"/>
        <v>0</v>
      </c>
      <c r="P142" s="478">
        <f t="shared" si="27"/>
        <v>0</v>
      </c>
    </row>
    <row r="143" spans="2:16">
      <c r="B143" s="160" t="str">
        <f t="shared" si="17"/>
        <v/>
      </c>
      <c r="C143" s="472">
        <f>IF(D93="","-",+C142+1)</f>
        <v>2062</v>
      </c>
      <c r="D143" s="347">
        <f>IF(F142+SUM(E$99:E142)=D$92,F142,D$92-SUM(E$99:E142))</f>
        <v>0</v>
      </c>
      <c r="E143" s="484">
        <f t="shared" si="18"/>
        <v>0</v>
      </c>
      <c r="F143" s="485">
        <f t="shared" si="19"/>
        <v>0</v>
      </c>
      <c r="G143" s="485">
        <f t="shared" si="20"/>
        <v>0</v>
      </c>
      <c r="H143" s="486">
        <f t="shared" si="21"/>
        <v>0</v>
      </c>
      <c r="I143" s="542">
        <f t="shared" si="22"/>
        <v>0</v>
      </c>
      <c r="J143" s="478">
        <f t="shared" si="24"/>
        <v>0</v>
      </c>
      <c r="K143" s="478"/>
      <c r="L143" s="487"/>
      <c r="M143" s="478">
        <f t="shared" si="25"/>
        <v>0</v>
      </c>
      <c r="N143" s="487"/>
      <c r="O143" s="478">
        <f t="shared" si="26"/>
        <v>0</v>
      </c>
      <c r="P143" s="478">
        <f t="shared" si="27"/>
        <v>0</v>
      </c>
    </row>
    <row r="144" spans="2:16">
      <c r="B144" s="160" t="str">
        <f t="shared" si="17"/>
        <v/>
      </c>
      <c r="C144" s="472">
        <f>IF(D93="","-",+C143+1)</f>
        <v>2063</v>
      </c>
      <c r="D144" s="347">
        <f>IF(F143+SUM(E$99:E143)=D$92,F143,D$92-SUM(E$99:E143))</f>
        <v>0</v>
      </c>
      <c r="E144" s="484">
        <f t="shared" si="18"/>
        <v>0</v>
      </c>
      <c r="F144" s="485">
        <f t="shared" si="19"/>
        <v>0</v>
      </c>
      <c r="G144" s="485">
        <f t="shared" si="20"/>
        <v>0</v>
      </c>
      <c r="H144" s="486">
        <f t="shared" si="21"/>
        <v>0</v>
      </c>
      <c r="I144" s="542">
        <f t="shared" si="22"/>
        <v>0</v>
      </c>
      <c r="J144" s="478">
        <f t="shared" si="24"/>
        <v>0</v>
      </c>
      <c r="K144" s="478"/>
      <c r="L144" s="487"/>
      <c r="M144" s="478">
        <f t="shared" si="25"/>
        <v>0</v>
      </c>
      <c r="N144" s="487"/>
      <c r="O144" s="478">
        <f t="shared" si="26"/>
        <v>0</v>
      </c>
      <c r="P144" s="478">
        <f t="shared" si="27"/>
        <v>0</v>
      </c>
    </row>
    <row r="145" spans="2:16">
      <c r="B145" s="160" t="str">
        <f t="shared" si="17"/>
        <v/>
      </c>
      <c r="C145" s="472">
        <f>IF(D93="","-",+C144+1)</f>
        <v>2064</v>
      </c>
      <c r="D145" s="347">
        <f>IF(F144+SUM(E$99:E144)=D$92,F144,D$92-SUM(E$99:E144))</f>
        <v>0</v>
      </c>
      <c r="E145" s="484">
        <f t="shared" si="18"/>
        <v>0</v>
      </c>
      <c r="F145" s="485">
        <f t="shared" si="19"/>
        <v>0</v>
      </c>
      <c r="G145" s="485">
        <f t="shared" si="20"/>
        <v>0</v>
      </c>
      <c r="H145" s="486">
        <f t="shared" si="21"/>
        <v>0</v>
      </c>
      <c r="I145" s="542">
        <f t="shared" si="22"/>
        <v>0</v>
      </c>
      <c r="J145" s="478">
        <f t="shared" si="24"/>
        <v>0</v>
      </c>
      <c r="K145" s="478"/>
      <c r="L145" s="487"/>
      <c r="M145" s="478">
        <f t="shared" si="25"/>
        <v>0</v>
      </c>
      <c r="N145" s="487"/>
      <c r="O145" s="478">
        <f t="shared" si="26"/>
        <v>0</v>
      </c>
      <c r="P145" s="478">
        <f t="shared" si="27"/>
        <v>0</v>
      </c>
    </row>
    <row r="146" spans="2:16">
      <c r="B146" s="160" t="str">
        <f t="shared" si="17"/>
        <v/>
      </c>
      <c r="C146" s="472">
        <f>IF(D93="","-",+C145+1)</f>
        <v>2065</v>
      </c>
      <c r="D146" s="347">
        <f>IF(F145+SUM(E$99:E145)=D$92,F145,D$92-SUM(E$99:E145))</f>
        <v>0</v>
      </c>
      <c r="E146" s="484">
        <f t="shared" si="18"/>
        <v>0</v>
      </c>
      <c r="F146" s="485">
        <f t="shared" si="19"/>
        <v>0</v>
      </c>
      <c r="G146" s="485">
        <f t="shared" si="20"/>
        <v>0</v>
      </c>
      <c r="H146" s="486">
        <f t="shared" si="21"/>
        <v>0</v>
      </c>
      <c r="I146" s="542">
        <f t="shared" si="22"/>
        <v>0</v>
      </c>
      <c r="J146" s="478">
        <f t="shared" si="24"/>
        <v>0</v>
      </c>
      <c r="K146" s="478"/>
      <c r="L146" s="487"/>
      <c r="M146" s="478">
        <f t="shared" si="25"/>
        <v>0</v>
      </c>
      <c r="N146" s="487"/>
      <c r="O146" s="478">
        <f t="shared" si="26"/>
        <v>0</v>
      </c>
      <c r="P146" s="478">
        <f t="shared" si="27"/>
        <v>0</v>
      </c>
    </row>
    <row r="147" spans="2:16">
      <c r="B147" s="160" t="str">
        <f t="shared" si="17"/>
        <v/>
      </c>
      <c r="C147" s="472">
        <f>IF(D93="","-",+C146+1)</f>
        <v>2066</v>
      </c>
      <c r="D147" s="347">
        <f>IF(F146+SUM(E$99:E146)=D$92,F146,D$92-SUM(E$99:E146))</f>
        <v>0</v>
      </c>
      <c r="E147" s="484">
        <f t="shared" si="18"/>
        <v>0</v>
      </c>
      <c r="F147" s="485">
        <f t="shared" si="19"/>
        <v>0</v>
      </c>
      <c r="G147" s="485">
        <f t="shared" si="20"/>
        <v>0</v>
      </c>
      <c r="H147" s="486">
        <f t="shared" si="21"/>
        <v>0</v>
      </c>
      <c r="I147" s="542">
        <f t="shared" si="22"/>
        <v>0</v>
      </c>
      <c r="J147" s="478">
        <f t="shared" si="24"/>
        <v>0</v>
      </c>
      <c r="K147" s="478"/>
      <c r="L147" s="487"/>
      <c r="M147" s="478">
        <f t="shared" si="25"/>
        <v>0</v>
      </c>
      <c r="N147" s="487"/>
      <c r="O147" s="478">
        <f t="shared" si="26"/>
        <v>0</v>
      </c>
      <c r="P147" s="478">
        <f t="shared" si="27"/>
        <v>0</v>
      </c>
    </row>
    <row r="148" spans="2:16">
      <c r="B148" s="160" t="str">
        <f t="shared" si="17"/>
        <v/>
      </c>
      <c r="C148" s="472">
        <f>IF(D93="","-",+C147+1)</f>
        <v>2067</v>
      </c>
      <c r="D148" s="347">
        <f>IF(F147+SUM(E$99:E147)=D$92,F147,D$92-SUM(E$99:E147))</f>
        <v>0</v>
      </c>
      <c r="E148" s="484">
        <f t="shared" si="18"/>
        <v>0</v>
      </c>
      <c r="F148" s="485">
        <f t="shared" si="19"/>
        <v>0</v>
      </c>
      <c r="G148" s="485">
        <f t="shared" si="20"/>
        <v>0</v>
      </c>
      <c r="H148" s="486">
        <f t="shared" si="21"/>
        <v>0</v>
      </c>
      <c r="I148" s="542">
        <f t="shared" si="22"/>
        <v>0</v>
      </c>
      <c r="J148" s="478">
        <f t="shared" si="24"/>
        <v>0</v>
      </c>
      <c r="K148" s="478"/>
      <c r="L148" s="487"/>
      <c r="M148" s="478">
        <f t="shared" si="25"/>
        <v>0</v>
      </c>
      <c r="N148" s="487"/>
      <c r="O148" s="478">
        <f t="shared" si="26"/>
        <v>0</v>
      </c>
      <c r="P148" s="478">
        <f t="shared" si="27"/>
        <v>0</v>
      </c>
    </row>
    <row r="149" spans="2:16">
      <c r="B149" s="160" t="str">
        <f t="shared" si="17"/>
        <v/>
      </c>
      <c r="C149" s="472">
        <f>IF(D93="","-",+C148+1)</f>
        <v>2068</v>
      </c>
      <c r="D149" s="347">
        <f>IF(F148+SUM(E$99:E148)=D$92,F148,D$92-SUM(E$99:E148))</f>
        <v>0</v>
      </c>
      <c r="E149" s="484">
        <f t="shared" si="18"/>
        <v>0</v>
      </c>
      <c r="F149" s="485">
        <f t="shared" si="19"/>
        <v>0</v>
      </c>
      <c r="G149" s="485">
        <f t="shared" si="20"/>
        <v>0</v>
      </c>
      <c r="H149" s="486">
        <f t="shared" si="21"/>
        <v>0</v>
      </c>
      <c r="I149" s="542">
        <f t="shared" si="22"/>
        <v>0</v>
      </c>
      <c r="J149" s="478">
        <f t="shared" si="24"/>
        <v>0</v>
      </c>
      <c r="K149" s="478"/>
      <c r="L149" s="487"/>
      <c r="M149" s="478">
        <f t="shared" si="25"/>
        <v>0</v>
      </c>
      <c r="N149" s="487"/>
      <c r="O149" s="478">
        <f t="shared" si="26"/>
        <v>0</v>
      </c>
      <c r="P149" s="478">
        <f t="shared" si="27"/>
        <v>0</v>
      </c>
    </row>
    <row r="150" spans="2:16">
      <c r="B150" s="160" t="str">
        <f t="shared" si="17"/>
        <v/>
      </c>
      <c r="C150" s="472">
        <f>IF(D93="","-",+C149+1)</f>
        <v>2069</v>
      </c>
      <c r="D150" s="347">
        <f>IF(F149+SUM(E$99:E149)=D$92,F149,D$92-SUM(E$99:E149))</f>
        <v>0</v>
      </c>
      <c r="E150" s="484">
        <f t="shared" si="18"/>
        <v>0</v>
      </c>
      <c r="F150" s="485">
        <f t="shared" si="19"/>
        <v>0</v>
      </c>
      <c r="G150" s="485">
        <f t="shared" si="20"/>
        <v>0</v>
      </c>
      <c r="H150" s="486">
        <f t="shared" si="21"/>
        <v>0</v>
      </c>
      <c r="I150" s="542">
        <f t="shared" si="22"/>
        <v>0</v>
      </c>
      <c r="J150" s="478">
        <f t="shared" si="24"/>
        <v>0</v>
      </c>
      <c r="K150" s="478"/>
      <c r="L150" s="487"/>
      <c r="M150" s="478">
        <f t="shared" si="25"/>
        <v>0</v>
      </c>
      <c r="N150" s="487"/>
      <c r="O150" s="478">
        <f t="shared" si="26"/>
        <v>0</v>
      </c>
      <c r="P150" s="478">
        <f t="shared" si="27"/>
        <v>0</v>
      </c>
    </row>
    <row r="151" spans="2:16">
      <c r="B151" s="160" t="str">
        <f t="shared" si="17"/>
        <v/>
      </c>
      <c r="C151" s="472">
        <f>IF(D93="","-",+C150+1)</f>
        <v>2070</v>
      </c>
      <c r="D151" s="347">
        <f>IF(F150+SUM(E$99:E150)=D$92,F150,D$92-SUM(E$99:E150))</f>
        <v>0</v>
      </c>
      <c r="E151" s="484">
        <f t="shared" si="18"/>
        <v>0</v>
      </c>
      <c r="F151" s="485">
        <f t="shared" si="19"/>
        <v>0</v>
      </c>
      <c r="G151" s="485">
        <f t="shared" si="20"/>
        <v>0</v>
      </c>
      <c r="H151" s="486">
        <f t="shared" si="21"/>
        <v>0</v>
      </c>
      <c r="I151" s="542">
        <f t="shared" si="22"/>
        <v>0</v>
      </c>
      <c r="J151" s="478">
        <f t="shared" si="24"/>
        <v>0</v>
      </c>
      <c r="K151" s="478"/>
      <c r="L151" s="487"/>
      <c r="M151" s="478">
        <f t="shared" si="25"/>
        <v>0</v>
      </c>
      <c r="N151" s="487"/>
      <c r="O151" s="478">
        <f t="shared" si="26"/>
        <v>0</v>
      </c>
      <c r="P151" s="478">
        <f t="shared" si="27"/>
        <v>0</v>
      </c>
    </row>
    <row r="152" spans="2:16">
      <c r="B152" s="160" t="str">
        <f t="shared" si="17"/>
        <v/>
      </c>
      <c r="C152" s="472">
        <f>IF(D93="","-",+C151+1)</f>
        <v>2071</v>
      </c>
      <c r="D152" s="347">
        <f>IF(F151+SUM(E$99:E151)=D$92,F151,D$92-SUM(E$99:E151))</f>
        <v>0</v>
      </c>
      <c r="E152" s="484">
        <f t="shared" si="18"/>
        <v>0</v>
      </c>
      <c r="F152" s="485">
        <f t="shared" si="19"/>
        <v>0</v>
      </c>
      <c r="G152" s="485">
        <f t="shared" si="20"/>
        <v>0</v>
      </c>
      <c r="H152" s="486">
        <f t="shared" si="21"/>
        <v>0</v>
      </c>
      <c r="I152" s="542">
        <f t="shared" si="22"/>
        <v>0</v>
      </c>
      <c r="J152" s="478">
        <f t="shared" si="24"/>
        <v>0</v>
      </c>
      <c r="K152" s="478"/>
      <c r="L152" s="487"/>
      <c r="M152" s="478">
        <f t="shared" si="25"/>
        <v>0</v>
      </c>
      <c r="N152" s="487"/>
      <c r="O152" s="478">
        <f t="shared" si="26"/>
        <v>0</v>
      </c>
      <c r="P152" s="478">
        <f t="shared" si="27"/>
        <v>0</v>
      </c>
    </row>
    <row r="153" spans="2:16">
      <c r="B153" s="160" t="str">
        <f t="shared" si="17"/>
        <v/>
      </c>
      <c r="C153" s="472">
        <f>IF(D93="","-",+C152+1)</f>
        <v>2072</v>
      </c>
      <c r="D153" s="347">
        <f>IF(F152+SUM(E$99:E152)=D$92,F152,D$92-SUM(E$99:E152))</f>
        <v>0</v>
      </c>
      <c r="E153" s="484">
        <f t="shared" si="18"/>
        <v>0</v>
      </c>
      <c r="F153" s="485">
        <f t="shared" si="19"/>
        <v>0</v>
      </c>
      <c r="G153" s="485">
        <f t="shared" si="20"/>
        <v>0</v>
      </c>
      <c r="H153" s="486">
        <f t="shared" si="21"/>
        <v>0</v>
      </c>
      <c r="I153" s="542">
        <f t="shared" si="22"/>
        <v>0</v>
      </c>
      <c r="J153" s="478">
        <f t="shared" si="24"/>
        <v>0</v>
      </c>
      <c r="K153" s="478"/>
      <c r="L153" s="487"/>
      <c r="M153" s="478">
        <f t="shared" si="25"/>
        <v>0</v>
      </c>
      <c r="N153" s="487"/>
      <c r="O153" s="478">
        <f t="shared" si="26"/>
        <v>0</v>
      </c>
      <c r="P153" s="478">
        <f t="shared" si="27"/>
        <v>0</v>
      </c>
    </row>
    <row r="154" spans="2:16" ht="13.5" thickBot="1">
      <c r="B154" s="160" t="str">
        <f t="shared" si="17"/>
        <v/>
      </c>
      <c r="C154" s="489">
        <f>IF(D93="","-",+C153+1)</f>
        <v>2073</v>
      </c>
      <c r="D154" s="491">
        <f>IF(F153+SUM(E$99:E153)=D$92,F153,D$92-SUM(E$99:E153))</f>
        <v>0</v>
      </c>
      <c r="E154" s="491">
        <f t="shared" si="18"/>
        <v>0</v>
      </c>
      <c r="F154" s="490">
        <f t="shared" si="19"/>
        <v>0</v>
      </c>
      <c r="G154" s="490">
        <f t="shared" si="20"/>
        <v>0</v>
      </c>
      <c r="H154" s="613">
        <f t="shared" ref="H154" si="28">+J$94*G154+E154</f>
        <v>0</v>
      </c>
      <c r="I154" s="614">
        <f t="shared" ref="I154" si="29">+J$95*G154+E154</f>
        <v>0</v>
      </c>
      <c r="J154" s="495">
        <f t="shared" si="24"/>
        <v>0</v>
      </c>
      <c r="K154" s="478"/>
      <c r="L154" s="494"/>
      <c r="M154" s="495">
        <f t="shared" si="25"/>
        <v>0</v>
      </c>
      <c r="N154" s="494"/>
      <c r="O154" s="495">
        <f t="shared" si="26"/>
        <v>0</v>
      </c>
      <c r="P154" s="495">
        <f t="shared" si="27"/>
        <v>0</v>
      </c>
    </row>
    <row r="155" spans="2:16">
      <c r="C155" s="347" t="s">
        <v>77</v>
      </c>
      <c r="D155" s="348"/>
      <c r="E155" s="348">
        <f>SUM(E99:E154)</f>
        <v>244000</v>
      </c>
      <c r="F155" s="348"/>
      <c r="G155" s="348"/>
      <c r="H155" s="348">
        <f>SUM(H99:H154)</f>
        <v>811560.77406428766</v>
      </c>
      <c r="I155" s="348">
        <f>SUM(I99:I154)</f>
        <v>811560.77406428766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17" priority="1" stopIfTrue="1" operator="equal">
      <formula>$I$10</formula>
    </cfRule>
  </conditionalFormatting>
  <conditionalFormatting sqref="C99:C154">
    <cfRule type="cellIs" dxfId="1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62"/>
  <sheetViews>
    <sheetView zoomScale="80" zoomScaleNormal="80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23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141993.72505975311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141993.72505975311</v>
      </c>
      <c r="O6" s="233"/>
      <c r="P6" s="233"/>
    </row>
    <row r="7" spans="1:16" ht="13.5" thickBot="1">
      <c r="C7" s="431" t="s">
        <v>46</v>
      </c>
      <c r="D7" s="599" t="s">
        <v>304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305</v>
      </c>
      <c r="E9" s="577" t="s">
        <v>306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1165593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27106.81395348837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2018</v>
      </c>
      <c r="D17" s="584">
        <v>0</v>
      </c>
      <c r="E17" s="608">
        <v>19755.555555555555</v>
      </c>
      <c r="F17" s="584">
        <v>1758244.4444444445</v>
      </c>
      <c r="G17" s="608">
        <v>138731.92205669577</v>
      </c>
      <c r="H17" s="587">
        <v>138731.92205669577</v>
      </c>
      <c r="I17" s="475">
        <f>H17-G17</f>
        <v>0</v>
      </c>
      <c r="J17" s="475"/>
      <c r="K17" s="554">
        <f>+G17</f>
        <v>138731.92205669577</v>
      </c>
      <c r="L17" s="477">
        <f t="shared" ref="L17:L72" si="0">IF(K17&lt;&gt;0,+G17-K17,0)</f>
        <v>0</v>
      </c>
      <c r="M17" s="554">
        <f>+H17</f>
        <v>138731.92205669577</v>
      </c>
      <c r="N17" s="477">
        <f t="shared" ref="N17:N72" si="1">IF(M17&lt;&gt;0,+H17-M17,0)</f>
        <v>0</v>
      </c>
      <c r="O17" s="478">
        <f t="shared" ref="O17:O72" si="2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2019</v>
      </c>
      <c r="D18" s="584">
        <v>1758244.4444444445</v>
      </c>
      <c r="E18" s="585">
        <v>39511.111111111109</v>
      </c>
      <c r="F18" s="584">
        <v>1718733.3333333335</v>
      </c>
      <c r="G18" s="585">
        <v>274790.21789988282</v>
      </c>
      <c r="H18" s="587">
        <v>274790.21789988282</v>
      </c>
      <c r="I18" s="475">
        <f>H18-G18</f>
        <v>0</v>
      </c>
      <c r="J18" s="475"/>
      <c r="K18" s="478">
        <f>+G18</f>
        <v>274790.21789988282</v>
      </c>
      <c r="L18" s="478">
        <f t="shared" si="0"/>
        <v>0</v>
      </c>
      <c r="M18" s="478">
        <f>+H18</f>
        <v>274790.21789988282</v>
      </c>
      <c r="N18" s="478">
        <f t="shared" si="1"/>
        <v>0</v>
      </c>
      <c r="O18" s="478">
        <f t="shared" si="2"/>
        <v>0</v>
      </c>
      <c r="P18" s="243"/>
    </row>
    <row r="19" spans="2:16">
      <c r="B19" s="160" t="str">
        <f>IF(D19=F18,"","IU")</f>
        <v>IU</v>
      </c>
      <c r="C19" s="472">
        <f>IF(D11="","-",+C18+1)</f>
        <v>2020</v>
      </c>
      <c r="D19" s="584">
        <v>1141057.3333333333</v>
      </c>
      <c r="E19" s="585">
        <v>28579.142857142859</v>
      </c>
      <c r="F19" s="584">
        <v>1112478.1904761903</v>
      </c>
      <c r="G19" s="585">
        <v>150275.44361099388</v>
      </c>
      <c r="H19" s="587">
        <v>150275.44361099388</v>
      </c>
      <c r="I19" s="475">
        <f t="shared" ref="I19:I71" si="3">H19-G19</f>
        <v>0</v>
      </c>
      <c r="J19" s="475"/>
      <c r="K19" s="478">
        <f>+G19</f>
        <v>150275.44361099388</v>
      </c>
      <c r="L19" s="478">
        <f t="shared" ref="L19" si="4">IF(K19&lt;&gt;0,+G19-K19,0)</f>
        <v>0</v>
      </c>
      <c r="M19" s="478">
        <f>+H19</f>
        <v>150275.44361099388</v>
      </c>
      <c r="N19" s="478">
        <f t="shared" si="1"/>
        <v>0</v>
      </c>
      <c r="O19" s="478">
        <f t="shared" si="2"/>
        <v>0</v>
      </c>
      <c r="P19" s="243"/>
    </row>
    <row r="20" spans="2:16">
      <c r="B20" s="160" t="str">
        <f t="shared" ref="B20:B72" si="5">IF(D20=F19,"","IU")</f>
        <v>IU</v>
      </c>
      <c r="C20" s="472">
        <f>IF(D11="","-",+C19+1)</f>
        <v>2021</v>
      </c>
      <c r="D20" s="584">
        <v>1076920.3015873015</v>
      </c>
      <c r="E20" s="585">
        <v>27353.023255813954</v>
      </c>
      <c r="F20" s="584">
        <v>1049567.2783314877</v>
      </c>
      <c r="G20" s="585">
        <v>141993.72505975311</v>
      </c>
      <c r="H20" s="587">
        <v>141993.72505975311</v>
      </c>
      <c r="I20" s="475">
        <f t="shared" si="3"/>
        <v>0</v>
      </c>
      <c r="J20" s="475"/>
      <c r="K20" s="478">
        <f>+G20</f>
        <v>141993.72505975311</v>
      </c>
      <c r="L20" s="478">
        <f t="shared" ref="L20" si="6">IF(K20&lt;&gt;0,+G20-K20,0)</f>
        <v>0</v>
      </c>
      <c r="M20" s="478">
        <f>+H20</f>
        <v>141993.72505975311</v>
      </c>
      <c r="N20" s="478">
        <f t="shared" si="1"/>
        <v>0</v>
      </c>
      <c r="O20" s="478">
        <f t="shared" si="2"/>
        <v>0</v>
      </c>
      <c r="P20" s="243"/>
    </row>
    <row r="21" spans="2:16">
      <c r="B21" s="160" t="str">
        <f t="shared" si="5"/>
        <v>IU</v>
      </c>
      <c r="C21" s="472">
        <f>IF(D11="","-",+C20+1)</f>
        <v>2022</v>
      </c>
      <c r="D21" s="483">
        <f>IF(F20+SUM(E$17:E20)=D$10,F20,D$10-SUM(E$17:E20))</f>
        <v>1050394.1672203764</v>
      </c>
      <c r="E21" s="484">
        <f t="shared" ref="E21:E71" si="7">IF(+I$14&lt;F20,I$14,D21)</f>
        <v>27106.81395348837</v>
      </c>
      <c r="F21" s="485">
        <f t="shared" ref="F21:F71" si="8">+D21-E21</f>
        <v>1023287.3532668881</v>
      </c>
      <c r="G21" s="486">
        <f t="shared" ref="G21:G71" si="9">(D21+F21)/2*I$12+E21</f>
        <v>146401.91207201465</v>
      </c>
      <c r="H21" s="455">
        <f t="shared" ref="H21:H71" si="10">+(D21+F21)/2*I$13+E21</f>
        <v>146401.91207201465</v>
      </c>
      <c r="I21" s="475">
        <f t="shared" si="3"/>
        <v>0</v>
      </c>
      <c r="J21" s="475"/>
      <c r="K21" s="487"/>
      <c r="L21" s="478">
        <f t="shared" si="0"/>
        <v>0</v>
      </c>
      <c r="M21" s="487"/>
      <c r="N21" s="478">
        <f t="shared" si="1"/>
        <v>0</v>
      </c>
      <c r="O21" s="478">
        <f t="shared" si="2"/>
        <v>0</v>
      </c>
      <c r="P21" s="243"/>
    </row>
    <row r="22" spans="2:16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1023287.3532668881</v>
      </c>
      <c r="E22" s="484">
        <f t="shared" si="7"/>
        <v>27106.81395348837</v>
      </c>
      <c r="F22" s="485">
        <f t="shared" si="8"/>
        <v>996180.5393133997</v>
      </c>
      <c r="G22" s="486">
        <f t="shared" si="9"/>
        <v>143283.10139803786</v>
      </c>
      <c r="H22" s="455">
        <f t="shared" si="10"/>
        <v>143283.10139803786</v>
      </c>
      <c r="I22" s="475">
        <f t="shared" si="3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3"/>
    </row>
    <row r="23" spans="2:16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996180.5393133997</v>
      </c>
      <c r="E23" s="484">
        <f t="shared" si="7"/>
        <v>27106.81395348837</v>
      </c>
      <c r="F23" s="485">
        <f t="shared" si="8"/>
        <v>969073.72535991133</v>
      </c>
      <c r="G23" s="486">
        <f t="shared" si="9"/>
        <v>140164.29072406108</v>
      </c>
      <c r="H23" s="455">
        <f t="shared" si="10"/>
        <v>140164.29072406108</v>
      </c>
      <c r="I23" s="475">
        <f t="shared" si="3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3"/>
    </row>
    <row r="24" spans="2:16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969073.72535991133</v>
      </c>
      <c r="E24" s="484">
        <f t="shared" si="7"/>
        <v>27106.81395348837</v>
      </c>
      <c r="F24" s="485">
        <f t="shared" si="8"/>
        <v>941966.91140642297</v>
      </c>
      <c r="G24" s="486">
        <f t="shared" si="9"/>
        <v>137045.48005008433</v>
      </c>
      <c r="H24" s="455">
        <f t="shared" si="10"/>
        <v>137045.48005008433</v>
      </c>
      <c r="I24" s="475">
        <f t="shared" si="3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3"/>
    </row>
    <row r="25" spans="2:16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941966.91140642297</v>
      </c>
      <c r="E25" s="484">
        <f t="shared" si="7"/>
        <v>27106.81395348837</v>
      </c>
      <c r="F25" s="485">
        <f t="shared" si="8"/>
        <v>914860.0974529346</v>
      </c>
      <c r="G25" s="486">
        <f t="shared" si="9"/>
        <v>133926.66937610754</v>
      </c>
      <c r="H25" s="455">
        <f t="shared" si="10"/>
        <v>133926.66937610754</v>
      </c>
      <c r="I25" s="475">
        <f t="shared" si="3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3"/>
    </row>
    <row r="26" spans="2:16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914860.0974529346</v>
      </c>
      <c r="E26" s="484">
        <f t="shared" si="7"/>
        <v>27106.81395348837</v>
      </c>
      <c r="F26" s="485">
        <f t="shared" si="8"/>
        <v>887753.28349944623</v>
      </c>
      <c r="G26" s="486">
        <f t="shared" si="9"/>
        <v>130807.85870213076</v>
      </c>
      <c r="H26" s="455">
        <f t="shared" si="10"/>
        <v>130807.85870213076</v>
      </c>
      <c r="I26" s="475">
        <f t="shared" si="3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3"/>
    </row>
    <row r="27" spans="2:16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887753.28349944623</v>
      </c>
      <c r="E27" s="484">
        <f t="shared" si="7"/>
        <v>27106.81395348837</v>
      </c>
      <c r="F27" s="485">
        <f t="shared" si="8"/>
        <v>860646.46954595787</v>
      </c>
      <c r="G27" s="486">
        <f t="shared" si="9"/>
        <v>127689.04802815399</v>
      </c>
      <c r="H27" s="455">
        <f t="shared" si="10"/>
        <v>127689.04802815399</v>
      </c>
      <c r="I27" s="475">
        <f t="shared" si="3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3"/>
    </row>
    <row r="28" spans="2:16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860646.46954595787</v>
      </c>
      <c r="E28" s="484">
        <f t="shared" si="7"/>
        <v>27106.81395348837</v>
      </c>
      <c r="F28" s="485">
        <f t="shared" si="8"/>
        <v>833539.6555924695</v>
      </c>
      <c r="G28" s="486">
        <f t="shared" si="9"/>
        <v>124570.23735417722</v>
      </c>
      <c r="H28" s="455">
        <f t="shared" si="10"/>
        <v>124570.23735417722</v>
      </c>
      <c r="I28" s="475">
        <f t="shared" si="3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3"/>
    </row>
    <row r="29" spans="2:16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833539.6555924695</v>
      </c>
      <c r="E29" s="484">
        <f t="shared" si="7"/>
        <v>27106.81395348837</v>
      </c>
      <c r="F29" s="485">
        <f t="shared" si="8"/>
        <v>806432.84163898113</v>
      </c>
      <c r="G29" s="486">
        <f t="shared" si="9"/>
        <v>121451.42668020046</v>
      </c>
      <c r="H29" s="455">
        <f t="shared" si="10"/>
        <v>121451.42668020046</v>
      </c>
      <c r="I29" s="475">
        <f t="shared" si="3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3"/>
    </row>
    <row r="30" spans="2:16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806432.84163898113</v>
      </c>
      <c r="E30" s="484">
        <f t="shared" si="7"/>
        <v>27106.81395348837</v>
      </c>
      <c r="F30" s="485">
        <f t="shared" si="8"/>
        <v>779326.02768549277</v>
      </c>
      <c r="G30" s="486">
        <f t="shared" si="9"/>
        <v>118332.61600622367</v>
      </c>
      <c r="H30" s="455">
        <f t="shared" si="10"/>
        <v>118332.61600622367</v>
      </c>
      <c r="I30" s="475">
        <f t="shared" si="3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3"/>
    </row>
    <row r="31" spans="2:16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779326.02768549277</v>
      </c>
      <c r="E31" s="484">
        <f t="shared" si="7"/>
        <v>27106.81395348837</v>
      </c>
      <c r="F31" s="485">
        <f t="shared" si="8"/>
        <v>752219.2137320044</v>
      </c>
      <c r="G31" s="486">
        <f t="shared" si="9"/>
        <v>115213.80533224691</v>
      </c>
      <c r="H31" s="455">
        <f t="shared" si="10"/>
        <v>115213.80533224691</v>
      </c>
      <c r="I31" s="475">
        <f t="shared" si="3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3"/>
    </row>
    <row r="32" spans="2:16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752219.2137320044</v>
      </c>
      <c r="E32" s="484">
        <f t="shared" si="7"/>
        <v>27106.81395348837</v>
      </c>
      <c r="F32" s="485">
        <f t="shared" si="8"/>
        <v>725112.39977851603</v>
      </c>
      <c r="G32" s="486">
        <f t="shared" si="9"/>
        <v>112094.99465827014</v>
      </c>
      <c r="H32" s="455">
        <f t="shared" si="10"/>
        <v>112094.99465827014</v>
      </c>
      <c r="I32" s="475">
        <f t="shared" si="3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3"/>
    </row>
    <row r="33" spans="2:16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725112.39977851603</v>
      </c>
      <c r="E33" s="484">
        <f t="shared" si="7"/>
        <v>27106.81395348837</v>
      </c>
      <c r="F33" s="485">
        <f t="shared" si="8"/>
        <v>698005.58582502767</v>
      </c>
      <c r="G33" s="486">
        <f t="shared" si="9"/>
        <v>108976.18398429336</v>
      </c>
      <c r="H33" s="455">
        <f t="shared" si="10"/>
        <v>108976.18398429336</v>
      </c>
      <c r="I33" s="475">
        <f t="shared" si="3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3"/>
    </row>
    <row r="34" spans="2:16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698005.58582502767</v>
      </c>
      <c r="E34" s="484">
        <f t="shared" si="7"/>
        <v>27106.81395348837</v>
      </c>
      <c r="F34" s="485">
        <f t="shared" si="8"/>
        <v>670898.7718715393</v>
      </c>
      <c r="G34" s="486">
        <f t="shared" si="9"/>
        <v>105857.37331031659</v>
      </c>
      <c r="H34" s="455">
        <f t="shared" si="10"/>
        <v>105857.37331031659</v>
      </c>
      <c r="I34" s="475">
        <f t="shared" si="3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3"/>
    </row>
    <row r="35" spans="2:16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670898.7718715393</v>
      </c>
      <c r="E35" s="484">
        <f t="shared" si="7"/>
        <v>27106.81395348837</v>
      </c>
      <c r="F35" s="485">
        <f t="shared" si="8"/>
        <v>643791.95791805093</v>
      </c>
      <c r="G35" s="486">
        <f t="shared" si="9"/>
        <v>102738.56263633982</v>
      </c>
      <c r="H35" s="455">
        <f t="shared" si="10"/>
        <v>102738.56263633982</v>
      </c>
      <c r="I35" s="475">
        <f t="shared" si="3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3"/>
    </row>
    <row r="36" spans="2:16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643791.95791805093</v>
      </c>
      <c r="E36" s="484">
        <f t="shared" si="7"/>
        <v>27106.81395348837</v>
      </c>
      <c r="F36" s="485">
        <f t="shared" si="8"/>
        <v>616685.14396456257</v>
      </c>
      <c r="G36" s="486">
        <f t="shared" si="9"/>
        <v>99619.751962363051</v>
      </c>
      <c r="H36" s="455">
        <f t="shared" si="10"/>
        <v>99619.751962363051</v>
      </c>
      <c r="I36" s="475">
        <f t="shared" si="3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3"/>
    </row>
    <row r="37" spans="2:16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616685.14396456257</v>
      </c>
      <c r="E37" s="484">
        <f t="shared" si="7"/>
        <v>27106.81395348837</v>
      </c>
      <c r="F37" s="485">
        <f t="shared" si="8"/>
        <v>589578.3300110742</v>
      </c>
      <c r="G37" s="486">
        <f t="shared" si="9"/>
        <v>96500.941288386268</v>
      </c>
      <c r="H37" s="455">
        <f t="shared" si="10"/>
        <v>96500.941288386268</v>
      </c>
      <c r="I37" s="475">
        <f t="shared" si="3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3"/>
    </row>
    <row r="38" spans="2:16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589578.3300110742</v>
      </c>
      <c r="E38" s="484">
        <f t="shared" si="7"/>
        <v>27106.81395348837</v>
      </c>
      <c r="F38" s="485">
        <f t="shared" si="8"/>
        <v>562471.51605758583</v>
      </c>
      <c r="G38" s="486">
        <f t="shared" si="9"/>
        <v>93382.1306144095</v>
      </c>
      <c r="H38" s="455">
        <f t="shared" si="10"/>
        <v>93382.1306144095</v>
      </c>
      <c r="I38" s="475">
        <f t="shared" si="3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3"/>
    </row>
    <row r="39" spans="2:16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562471.51605758583</v>
      </c>
      <c r="E39" s="484">
        <f t="shared" si="7"/>
        <v>27106.81395348837</v>
      </c>
      <c r="F39" s="485">
        <f t="shared" si="8"/>
        <v>535364.70210409747</v>
      </c>
      <c r="G39" s="486">
        <f t="shared" si="9"/>
        <v>90263.319940432732</v>
      </c>
      <c r="H39" s="455">
        <f t="shared" si="10"/>
        <v>90263.319940432732</v>
      </c>
      <c r="I39" s="475">
        <f t="shared" si="3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3"/>
    </row>
    <row r="40" spans="2:16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535364.70210409747</v>
      </c>
      <c r="E40" s="484">
        <f t="shared" si="7"/>
        <v>27106.81395348837</v>
      </c>
      <c r="F40" s="485">
        <f t="shared" si="8"/>
        <v>508257.8881506091</v>
      </c>
      <c r="G40" s="486">
        <f t="shared" si="9"/>
        <v>87144.509266455963</v>
      </c>
      <c r="H40" s="455">
        <f t="shared" si="10"/>
        <v>87144.509266455963</v>
      </c>
      <c r="I40" s="475">
        <f t="shared" si="3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3"/>
    </row>
    <row r="41" spans="2:16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508257.8881506091</v>
      </c>
      <c r="E41" s="484">
        <f t="shared" si="7"/>
        <v>27106.81395348837</v>
      </c>
      <c r="F41" s="485">
        <f t="shared" si="8"/>
        <v>481151.07419712073</v>
      </c>
      <c r="G41" s="486">
        <f t="shared" si="9"/>
        <v>84025.698592479195</v>
      </c>
      <c r="H41" s="455">
        <f t="shared" si="10"/>
        <v>84025.698592479195</v>
      </c>
      <c r="I41" s="475">
        <f t="shared" si="3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3"/>
    </row>
    <row r="42" spans="2:16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481151.07419712073</v>
      </c>
      <c r="E42" s="484">
        <f t="shared" si="7"/>
        <v>27106.81395348837</v>
      </c>
      <c r="F42" s="485">
        <f t="shared" si="8"/>
        <v>454044.26024363237</v>
      </c>
      <c r="G42" s="486">
        <f t="shared" si="9"/>
        <v>80906.887918502413</v>
      </c>
      <c r="H42" s="455">
        <f t="shared" si="10"/>
        <v>80906.887918502413</v>
      </c>
      <c r="I42" s="475">
        <f t="shared" si="3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3"/>
    </row>
    <row r="43" spans="2:16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454044.26024363237</v>
      </c>
      <c r="E43" s="484">
        <f t="shared" si="7"/>
        <v>27106.81395348837</v>
      </c>
      <c r="F43" s="485">
        <f t="shared" si="8"/>
        <v>426937.446290144</v>
      </c>
      <c r="G43" s="486">
        <f t="shared" si="9"/>
        <v>77788.077244525644</v>
      </c>
      <c r="H43" s="455">
        <f t="shared" si="10"/>
        <v>77788.077244525644</v>
      </c>
      <c r="I43" s="475">
        <f t="shared" si="3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3"/>
    </row>
    <row r="44" spans="2:16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426937.446290144</v>
      </c>
      <c r="E44" s="484">
        <f t="shared" si="7"/>
        <v>27106.81395348837</v>
      </c>
      <c r="F44" s="485">
        <f t="shared" si="8"/>
        <v>399830.63233665563</v>
      </c>
      <c r="G44" s="486">
        <f t="shared" si="9"/>
        <v>74669.266570548876</v>
      </c>
      <c r="H44" s="455">
        <f t="shared" si="10"/>
        <v>74669.266570548876</v>
      </c>
      <c r="I44" s="475">
        <f t="shared" si="3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3"/>
    </row>
    <row r="45" spans="2:16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399830.63233665563</v>
      </c>
      <c r="E45" s="484">
        <f t="shared" si="7"/>
        <v>27106.81395348837</v>
      </c>
      <c r="F45" s="485">
        <f t="shared" si="8"/>
        <v>372723.81838316726</v>
      </c>
      <c r="G45" s="486">
        <f t="shared" si="9"/>
        <v>71550.455896572108</v>
      </c>
      <c r="H45" s="455">
        <f t="shared" si="10"/>
        <v>71550.455896572108</v>
      </c>
      <c r="I45" s="475">
        <f t="shared" si="3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3"/>
    </row>
    <row r="46" spans="2:16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372723.81838316726</v>
      </c>
      <c r="E46" s="484">
        <f t="shared" si="7"/>
        <v>27106.81395348837</v>
      </c>
      <c r="F46" s="485">
        <f t="shared" si="8"/>
        <v>345617.0044296789</v>
      </c>
      <c r="G46" s="486">
        <f t="shared" si="9"/>
        <v>68431.645222595325</v>
      </c>
      <c r="H46" s="455">
        <f t="shared" si="10"/>
        <v>68431.645222595325</v>
      </c>
      <c r="I46" s="475">
        <f t="shared" si="3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3"/>
    </row>
    <row r="47" spans="2:16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345617.0044296789</v>
      </c>
      <c r="E47" s="484">
        <f t="shared" si="7"/>
        <v>27106.81395348837</v>
      </c>
      <c r="F47" s="485">
        <f t="shared" si="8"/>
        <v>318510.19047619053</v>
      </c>
      <c r="G47" s="486">
        <f t="shared" si="9"/>
        <v>65312.834548618557</v>
      </c>
      <c r="H47" s="455">
        <f t="shared" si="10"/>
        <v>65312.834548618557</v>
      </c>
      <c r="I47" s="475">
        <f t="shared" si="3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3"/>
    </row>
    <row r="48" spans="2:16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318510.19047619053</v>
      </c>
      <c r="E48" s="484">
        <f t="shared" si="7"/>
        <v>27106.81395348837</v>
      </c>
      <c r="F48" s="485">
        <f t="shared" si="8"/>
        <v>291403.37652270216</v>
      </c>
      <c r="G48" s="486">
        <f t="shared" si="9"/>
        <v>62194.023874641789</v>
      </c>
      <c r="H48" s="455">
        <f t="shared" si="10"/>
        <v>62194.023874641789</v>
      </c>
      <c r="I48" s="475">
        <f t="shared" si="3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3"/>
    </row>
    <row r="49" spans="2:16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291403.37652270216</v>
      </c>
      <c r="E49" s="484">
        <f t="shared" si="7"/>
        <v>27106.81395348837</v>
      </c>
      <c r="F49" s="485">
        <f t="shared" si="8"/>
        <v>264296.5625692138</v>
      </c>
      <c r="G49" s="486">
        <f t="shared" si="9"/>
        <v>59075.213200665014</v>
      </c>
      <c r="H49" s="455">
        <f t="shared" si="10"/>
        <v>59075.213200665014</v>
      </c>
      <c r="I49" s="475">
        <f t="shared" si="3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3"/>
    </row>
    <row r="50" spans="2:16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264296.5625692138</v>
      </c>
      <c r="E50" s="484">
        <f t="shared" si="7"/>
        <v>27106.81395348837</v>
      </c>
      <c r="F50" s="485">
        <f t="shared" si="8"/>
        <v>237189.74861572543</v>
      </c>
      <c r="G50" s="486">
        <f t="shared" si="9"/>
        <v>55956.402526688238</v>
      </c>
      <c r="H50" s="455">
        <f t="shared" si="10"/>
        <v>55956.402526688238</v>
      </c>
      <c r="I50" s="475">
        <f t="shared" si="3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3"/>
    </row>
    <row r="51" spans="2:16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237189.74861572543</v>
      </c>
      <c r="E51" s="484">
        <f t="shared" si="7"/>
        <v>27106.81395348837</v>
      </c>
      <c r="F51" s="485">
        <f t="shared" si="8"/>
        <v>210082.93466223706</v>
      </c>
      <c r="G51" s="486">
        <f t="shared" si="9"/>
        <v>52837.59185271147</v>
      </c>
      <c r="H51" s="455">
        <f t="shared" si="10"/>
        <v>52837.59185271147</v>
      </c>
      <c r="I51" s="475">
        <f t="shared" si="3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3"/>
    </row>
    <row r="52" spans="2:16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210082.93466223706</v>
      </c>
      <c r="E52" s="484">
        <f t="shared" si="7"/>
        <v>27106.81395348837</v>
      </c>
      <c r="F52" s="485">
        <f t="shared" si="8"/>
        <v>182976.1207087487</v>
      </c>
      <c r="G52" s="486">
        <f t="shared" si="9"/>
        <v>49718.781178734702</v>
      </c>
      <c r="H52" s="455">
        <f t="shared" si="10"/>
        <v>49718.781178734702</v>
      </c>
      <c r="I52" s="475">
        <f t="shared" si="3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3"/>
    </row>
    <row r="53" spans="2:16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182976.1207087487</v>
      </c>
      <c r="E53" s="484">
        <f t="shared" si="7"/>
        <v>27106.81395348837</v>
      </c>
      <c r="F53" s="485">
        <f t="shared" si="8"/>
        <v>155869.30675526033</v>
      </c>
      <c r="G53" s="486">
        <f t="shared" si="9"/>
        <v>46599.970504757919</v>
      </c>
      <c r="H53" s="455">
        <f t="shared" si="10"/>
        <v>46599.970504757919</v>
      </c>
      <c r="I53" s="475">
        <f t="shared" si="3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3"/>
    </row>
    <row r="54" spans="2:16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155869.30675526033</v>
      </c>
      <c r="E54" s="484">
        <f t="shared" si="7"/>
        <v>27106.81395348837</v>
      </c>
      <c r="F54" s="485">
        <f t="shared" si="8"/>
        <v>128762.49280177196</v>
      </c>
      <c r="G54" s="486">
        <f t="shared" si="9"/>
        <v>43481.159830781151</v>
      </c>
      <c r="H54" s="455">
        <f t="shared" si="10"/>
        <v>43481.159830781151</v>
      </c>
      <c r="I54" s="475">
        <f t="shared" si="3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3"/>
    </row>
    <row r="55" spans="2:16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128762.49280177196</v>
      </c>
      <c r="E55" s="484">
        <f t="shared" si="7"/>
        <v>27106.81395348837</v>
      </c>
      <c r="F55" s="485">
        <f t="shared" si="8"/>
        <v>101655.6788482836</v>
      </c>
      <c r="G55" s="486">
        <f t="shared" si="9"/>
        <v>40362.349156804383</v>
      </c>
      <c r="H55" s="455">
        <f t="shared" si="10"/>
        <v>40362.349156804383</v>
      </c>
      <c r="I55" s="475">
        <f t="shared" si="3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3"/>
    </row>
    <row r="56" spans="2:16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101655.6788482836</v>
      </c>
      <c r="E56" s="484">
        <f t="shared" si="7"/>
        <v>27106.81395348837</v>
      </c>
      <c r="F56" s="485">
        <f t="shared" si="8"/>
        <v>74548.864894795232</v>
      </c>
      <c r="G56" s="486">
        <f t="shared" si="9"/>
        <v>37243.538482827607</v>
      </c>
      <c r="H56" s="455">
        <f t="shared" si="10"/>
        <v>37243.538482827607</v>
      </c>
      <c r="I56" s="475">
        <f t="shared" si="3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3"/>
    </row>
    <row r="57" spans="2:16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74548.864894795232</v>
      </c>
      <c r="E57" s="484">
        <f t="shared" si="7"/>
        <v>27106.81395348837</v>
      </c>
      <c r="F57" s="485">
        <f t="shared" si="8"/>
        <v>47442.050941306865</v>
      </c>
      <c r="G57" s="486">
        <f t="shared" si="9"/>
        <v>34124.727808850839</v>
      </c>
      <c r="H57" s="455">
        <f t="shared" si="10"/>
        <v>34124.727808850839</v>
      </c>
      <c r="I57" s="475">
        <f t="shared" si="3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3"/>
    </row>
    <row r="58" spans="2:16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47442.050941306865</v>
      </c>
      <c r="E58" s="484">
        <f t="shared" si="7"/>
        <v>27106.81395348837</v>
      </c>
      <c r="F58" s="485">
        <f t="shared" si="8"/>
        <v>20335.236987818495</v>
      </c>
      <c r="G58" s="486">
        <f t="shared" si="9"/>
        <v>31005.917134874064</v>
      </c>
      <c r="H58" s="455">
        <f t="shared" si="10"/>
        <v>31005.917134874064</v>
      </c>
      <c r="I58" s="475">
        <f t="shared" si="3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3"/>
    </row>
    <row r="59" spans="2:16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20335.236987818495</v>
      </c>
      <c r="E59" s="484">
        <f t="shared" si="7"/>
        <v>20335.236987818495</v>
      </c>
      <c r="F59" s="485">
        <f t="shared" si="8"/>
        <v>0</v>
      </c>
      <c r="G59" s="486">
        <f t="shared" si="9"/>
        <v>21505.085910017147</v>
      </c>
      <c r="H59" s="455">
        <f t="shared" si="10"/>
        <v>21505.085910017147</v>
      </c>
      <c r="I59" s="475">
        <f t="shared" si="3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3"/>
    </row>
    <row r="60" spans="2:16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7"/>
        <v>0</v>
      </c>
      <c r="F60" s="485">
        <f t="shared" si="8"/>
        <v>0</v>
      </c>
      <c r="G60" s="486">
        <f t="shared" si="9"/>
        <v>0</v>
      </c>
      <c r="H60" s="455">
        <f t="shared" si="10"/>
        <v>0</v>
      </c>
      <c r="I60" s="475">
        <f t="shared" si="3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3"/>
    </row>
    <row r="61" spans="2:16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7"/>
        <v>0</v>
      </c>
      <c r="F61" s="485">
        <f t="shared" si="8"/>
        <v>0</v>
      </c>
      <c r="G61" s="486">
        <f t="shared" si="9"/>
        <v>0</v>
      </c>
      <c r="H61" s="455">
        <f t="shared" si="10"/>
        <v>0</v>
      </c>
      <c r="I61" s="475">
        <f t="shared" si="3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3"/>
    </row>
    <row r="62" spans="2:16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7"/>
        <v>0</v>
      </c>
      <c r="F62" s="485">
        <f t="shared" si="8"/>
        <v>0</v>
      </c>
      <c r="G62" s="486">
        <f t="shared" si="9"/>
        <v>0</v>
      </c>
      <c r="H62" s="455">
        <f t="shared" si="10"/>
        <v>0</v>
      </c>
      <c r="I62" s="475">
        <f t="shared" si="3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3"/>
    </row>
    <row r="63" spans="2:16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3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3"/>
    </row>
    <row r="64" spans="2:16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3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3"/>
    </row>
    <row r="65" spans="2:16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3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3"/>
    </row>
    <row r="66" spans="2:16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3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3"/>
    </row>
    <row r="67" spans="2:16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3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3"/>
    </row>
    <row r="68" spans="2:16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3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3"/>
    </row>
    <row r="69" spans="2:16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3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3"/>
    </row>
    <row r="70" spans="2:16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3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3"/>
    </row>
    <row r="71" spans="2:16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3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3"/>
    </row>
    <row r="73" spans="2:16">
      <c r="C73" s="347" t="s">
        <v>77</v>
      </c>
      <c r="D73" s="348"/>
      <c r="E73" s="348">
        <f>SUM(E17:E72)</f>
        <v>1165593</v>
      </c>
      <c r="F73" s="348"/>
      <c r="G73" s="348">
        <f>SUM(G17:G72)</f>
        <v>4098045.1494682305</v>
      </c>
      <c r="H73" s="348">
        <f>SUM(H17:H72)</f>
        <v>4098045.1494682305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23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141993.72505975311</v>
      </c>
      <c r="N87" s="508">
        <f>IF(J92&lt;D11,0,VLOOKUP(J92,C17:O72,11))</f>
        <v>141993.72505975311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150746.01115745076</v>
      </c>
      <c r="N88" s="512">
        <f>IF(J92&lt;D11,0,VLOOKUP(J92,C99:P154,7))</f>
        <v>150746.01115745076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Elk City 138KV Move Load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8752.2860976976517</v>
      </c>
      <c r="N89" s="517">
        <f>+N88-N87</f>
        <v>8752.2860976976517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TP2011110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1165593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5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28429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2018</v>
      </c>
      <c r="D99" s="584">
        <v>0</v>
      </c>
      <c r="E99" s="608">
        <v>20674.5</v>
      </c>
      <c r="F99" s="584">
        <v>1757325.5</v>
      </c>
      <c r="G99" s="608">
        <v>878662.75</v>
      </c>
      <c r="H99" s="587">
        <v>110944.41567094853</v>
      </c>
      <c r="I99" s="607">
        <v>110944.41567094853</v>
      </c>
      <c r="J99" s="478">
        <f>+I99-H99</f>
        <v>0</v>
      </c>
      <c r="K99" s="478"/>
      <c r="L99" s="477">
        <f>+H99</f>
        <v>110944.41567094853</v>
      </c>
      <c r="M99" s="477">
        <f t="shared" ref="M99" si="11">IF(L99&lt;&gt;0,+H99-L99,0)</f>
        <v>0</v>
      </c>
      <c r="N99" s="477">
        <f>+I99</f>
        <v>110944.41567094853</v>
      </c>
      <c r="O99" s="477">
        <f t="shared" ref="O99" si="12">IF(N99&lt;&gt;0,+I99-N99,0)</f>
        <v>0</v>
      </c>
      <c r="P99" s="477">
        <f t="shared" ref="P99" si="13">+O99-M99</f>
        <v>0</v>
      </c>
    </row>
    <row r="100" spans="1:16">
      <c r="B100" s="160" t="str">
        <f>IF(D100=F99,"","IU")</f>
        <v>IU</v>
      </c>
      <c r="C100" s="472">
        <f>IF(D93="","-",+C99+1)</f>
        <v>2019</v>
      </c>
      <c r="D100" s="584">
        <v>1155505.5</v>
      </c>
      <c r="E100" s="585">
        <v>28687</v>
      </c>
      <c r="F100" s="586">
        <v>1126818.5</v>
      </c>
      <c r="G100" s="586">
        <v>1141162</v>
      </c>
      <c r="H100" s="606">
        <v>146356.80823022424</v>
      </c>
      <c r="I100" s="607">
        <v>146356.80823022424</v>
      </c>
      <c r="J100" s="478">
        <f t="shared" ref="J100:J130" si="14">+I100-H100</f>
        <v>0</v>
      </c>
      <c r="K100" s="478"/>
      <c r="L100" s="476">
        <f>H100</f>
        <v>146356.80823022424</v>
      </c>
      <c r="M100" s="349">
        <f>IF(L100&lt;&gt;0,+H100-L100,0)</f>
        <v>0</v>
      </c>
      <c r="N100" s="476">
        <f>I100</f>
        <v>146356.80823022424</v>
      </c>
      <c r="O100" s="478">
        <f t="shared" ref="O100:O130" si="15">IF(N100&lt;&gt;0,+I100-N100,0)</f>
        <v>0</v>
      </c>
      <c r="P100" s="478">
        <f t="shared" ref="P100:P130" si="16">+O100-M100</f>
        <v>0</v>
      </c>
    </row>
    <row r="101" spans="1:16">
      <c r="B101" s="160" t="str">
        <f t="shared" ref="B101:B154" si="17">IF(D101=F100,"","IU")</f>
        <v>IU</v>
      </c>
      <c r="C101" s="472">
        <f>IF(D93="","-",+C100+1)</f>
        <v>2020</v>
      </c>
      <c r="D101" s="584">
        <v>1116231.5</v>
      </c>
      <c r="E101" s="585">
        <v>27107</v>
      </c>
      <c r="F101" s="586">
        <v>1089124.5</v>
      </c>
      <c r="G101" s="586">
        <v>1102678</v>
      </c>
      <c r="H101" s="606">
        <v>154242.74183680658</v>
      </c>
      <c r="I101" s="607">
        <v>154242.74183680658</v>
      </c>
      <c r="J101" s="478">
        <f t="shared" si="14"/>
        <v>0</v>
      </c>
      <c r="K101" s="478"/>
      <c r="L101" s="476">
        <f>H101</f>
        <v>154242.74183680658</v>
      </c>
      <c r="M101" s="349">
        <f>IF(L101&lt;&gt;0,+H101-L101,0)</f>
        <v>0</v>
      </c>
      <c r="N101" s="476">
        <f>I101</f>
        <v>154242.74183680658</v>
      </c>
      <c r="O101" s="478">
        <f t="shared" si="15"/>
        <v>0</v>
      </c>
      <c r="P101" s="478">
        <f t="shared" si="16"/>
        <v>0</v>
      </c>
    </row>
    <row r="102" spans="1:16">
      <c r="B102" s="160" t="str">
        <f t="shared" si="17"/>
        <v/>
      </c>
      <c r="C102" s="472">
        <f>IF(D93="","-",+C101+1)</f>
        <v>2021</v>
      </c>
      <c r="D102" s="347">
        <f>IF(F101+SUM(E$99:E101)=D$92,F101,D$92-SUM(E$99:E101))</f>
        <v>1089124.5</v>
      </c>
      <c r="E102" s="484">
        <f t="shared" ref="E102:E154" si="18">IF(+J$96&lt;F101,J$96,D102)</f>
        <v>28429</v>
      </c>
      <c r="F102" s="485">
        <f t="shared" ref="F102:F154" si="19">+D102-E102</f>
        <v>1060695.5</v>
      </c>
      <c r="G102" s="485">
        <f t="shared" ref="G102:G154" si="20">+(F102+D102)/2</f>
        <v>1074910</v>
      </c>
      <c r="H102" s="486">
        <f t="shared" ref="H102:H153" si="21">(D102+F102)/2*J$94+E102</f>
        <v>150746.01115745076</v>
      </c>
      <c r="I102" s="542">
        <f t="shared" ref="I102:I153" si="22">+J$95*G102+E102</f>
        <v>150746.01115745076</v>
      </c>
      <c r="J102" s="478">
        <f t="shared" si="14"/>
        <v>0</v>
      </c>
      <c r="K102" s="478"/>
      <c r="L102" s="487"/>
      <c r="M102" s="478">
        <f t="shared" ref="M102:M130" si="23">IF(L102&lt;&gt;0,+H102-L102,0)</f>
        <v>0</v>
      </c>
      <c r="N102" s="487"/>
      <c r="O102" s="478">
        <f t="shared" si="15"/>
        <v>0</v>
      </c>
      <c r="P102" s="478">
        <f t="shared" si="16"/>
        <v>0</v>
      </c>
    </row>
    <row r="103" spans="1:16">
      <c r="B103" s="160" t="str">
        <f t="shared" si="17"/>
        <v/>
      </c>
      <c r="C103" s="472">
        <f>IF(D93="","-",+C102+1)</f>
        <v>2022</v>
      </c>
      <c r="D103" s="347">
        <f>IF(F102+SUM(E$99:E102)=D$92,F102,D$92-SUM(E$99:E102))</f>
        <v>1060695.5</v>
      </c>
      <c r="E103" s="484">
        <f t="shared" si="18"/>
        <v>28429</v>
      </c>
      <c r="F103" s="485">
        <f t="shared" si="19"/>
        <v>1032266.5</v>
      </c>
      <c r="G103" s="485">
        <f t="shared" si="20"/>
        <v>1046481</v>
      </c>
      <c r="H103" s="486">
        <f t="shared" si="21"/>
        <v>147510.99584435928</v>
      </c>
      <c r="I103" s="542">
        <f t="shared" si="22"/>
        <v>147510.99584435928</v>
      </c>
      <c r="J103" s="478">
        <f t="shared" si="14"/>
        <v>0</v>
      </c>
      <c r="K103" s="478"/>
      <c r="L103" s="487"/>
      <c r="M103" s="478">
        <f t="shared" si="23"/>
        <v>0</v>
      </c>
      <c r="N103" s="487"/>
      <c r="O103" s="478">
        <f t="shared" si="15"/>
        <v>0</v>
      </c>
      <c r="P103" s="478">
        <f t="shared" si="16"/>
        <v>0</v>
      </c>
    </row>
    <row r="104" spans="1:16">
      <c r="B104" s="160" t="str">
        <f t="shared" si="17"/>
        <v/>
      </c>
      <c r="C104" s="472">
        <f>IF(D93="","-",+C103+1)</f>
        <v>2023</v>
      </c>
      <c r="D104" s="347">
        <f>IF(F103+SUM(E$99:E103)=D$92,F103,D$92-SUM(E$99:E103))</f>
        <v>1032266.5</v>
      </c>
      <c r="E104" s="484">
        <f t="shared" si="18"/>
        <v>28429</v>
      </c>
      <c r="F104" s="485">
        <f t="shared" si="19"/>
        <v>1003837.5</v>
      </c>
      <c r="G104" s="485">
        <f t="shared" si="20"/>
        <v>1018052</v>
      </c>
      <c r="H104" s="486">
        <f t="shared" si="21"/>
        <v>144275.98053126779</v>
      </c>
      <c r="I104" s="542">
        <f t="shared" si="22"/>
        <v>144275.98053126779</v>
      </c>
      <c r="J104" s="478">
        <f t="shared" si="14"/>
        <v>0</v>
      </c>
      <c r="K104" s="478"/>
      <c r="L104" s="487"/>
      <c r="M104" s="478">
        <f t="shared" si="23"/>
        <v>0</v>
      </c>
      <c r="N104" s="487"/>
      <c r="O104" s="478">
        <f t="shared" si="15"/>
        <v>0</v>
      </c>
      <c r="P104" s="478">
        <f t="shared" si="16"/>
        <v>0</v>
      </c>
    </row>
    <row r="105" spans="1:16">
      <c r="B105" s="160" t="str">
        <f t="shared" si="17"/>
        <v/>
      </c>
      <c r="C105" s="472">
        <f>IF(D93="","-",+C104+1)</f>
        <v>2024</v>
      </c>
      <c r="D105" s="347">
        <f>IF(F104+SUM(E$99:E104)=D$92,F104,D$92-SUM(E$99:E104))</f>
        <v>1003837.5</v>
      </c>
      <c r="E105" s="484">
        <f t="shared" si="18"/>
        <v>28429</v>
      </c>
      <c r="F105" s="485">
        <f t="shared" si="19"/>
        <v>975408.5</v>
      </c>
      <c r="G105" s="485">
        <f t="shared" si="20"/>
        <v>989623</v>
      </c>
      <c r="H105" s="486">
        <f t="shared" si="21"/>
        <v>141040.96521817631</v>
      </c>
      <c r="I105" s="542">
        <f t="shared" si="22"/>
        <v>141040.96521817631</v>
      </c>
      <c r="J105" s="478">
        <f t="shared" si="14"/>
        <v>0</v>
      </c>
      <c r="K105" s="478"/>
      <c r="L105" s="487"/>
      <c r="M105" s="478">
        <f t="shared" si="23"/>
        <v>0</v>
      </c>
      <c r="N105" s="487"/>
      <c r="O105" s="478">
        <f t="shared" si="15"/>
        <v>0</v>
      </c>
      <c r="P105" s="478">
        <f t="shared" si="16"/>
        <v>0</v>
      </c>
    </row>
    <row r="106" spans="1:16">
      <c r="B106" s="160" t="str">
        <f t="shared" si="17"/>
        <v/>
      </c>
      <c r="C106" s="472">
        <f>IF(D93="","-",+C105+1)</f>
        <v>2025</v>
      </c>
      <c r="D106" s="347">
        <f>IF(F105+SUM(E$99:E105)=D$92,F105,D$92-SUM(E$99:E105))</f>
        <v>975408.5</v>
      </c>
      <c r="E106" s="484">
        <f t="shared" si="18"/>
        <v>28429</v>
      </c>
      <c r="F106" s="485">
        <f t="shared" si="19"/>
        <v>946979.5</v>
      </c>
      <c r="G106" s="485">
        <f t="shared" si="20"/>
        <v>961194</v>
      </c>
      <c r="H106" s="486">
        <f t="shared" si="21"/>
        <v>137805.94990508482</v>
      </c>
      <c r="I106" s="542">
        <f t="shared" si="22"/>
        <v>137805.94990508482</v>
      </c>
      <c r="J106" s="478">
        <f t="shared" si="14"/>
        <v>0</v>
      </c>
      <c r="K106" s="478"/>
      <c r="L106" s="487"/>
      <c r="M106" s="478">
        <f t="shared" si="23"/>
        <v>0</v>
      </c>
      <c r="N106" s="487"/>
      <c r="O106" s="478">
        <f t="shared" si="15"/>
        <v>0</v>
      </c>
      <c r="P106" s="478">
        <f t="shared" si="16"/>
        <v>0</v>
      </c>
    </row>
    <row r="107" spans="1:16">
      <c r="B107" s="160" t="str">
        <f t="shared" si="17"/>
        <v/>
      </c>
      <c r="C107" s="472">
        <f>IF(D93="","-",+C106+1)</f>
        <v>2026</v>
      </c>
      <c r="D107" s="347">
        <f>IF(F106+SUM(E$99:E106)=D$92,F106,D$92-SUM(E$99:E106))</f>
        <v>946979.5</v>
      </c>
      <c r="E107" s="484">
        <f t="shared" si="18"/>
        <v>28429</v>
      </c>
      <c r="F107" s="485">
        <f t="shared" si="19"/>
        <v>918550.5</v>
      </c>
      <c r="G107" s="485">
        <f t="shared" si="20"/>
        <v>932765</v>
      </c>
      <c r="H107" s="486">
        <f t="shared" si="21"/>
        <v>134570.93459199334</v>
      </c>
      <c r="I107" s="542">
        <f t="shared" si="22"/>
        <v>134570.93459199334</v>
      </c>
      <c r="J107" s="478">
        <f t="shared" si="14"/>
        <v>0</v>
      </c>
      <c r="K107" s="478"/>
      <c r="L107" s="487"/>
      <c r="M107" s="478">
        <f t="shared" si="23"/>
        <v>0</v>
      </c>
      <c r="N107" s="487"/>
      <c r="O107" s="478">
        <f t="shared" si="15"/>
        <v>0</v>
      </c>
      <c r="P107" s="478">
        <f t="shared" si="16"/>
        <v>0</v>
      </c>
    </row>
    <row r="108" spans="1:16">
      <c r="B108" s="160" t="str">
        <f t="shared" si="17"/>
        <v/>
      </c>
      <c r="C108" s="472">
        <f>IF(D93="","-",+C107+1)</f>
        <v>2027</v>
      </c>
      <c r="D108" s="347">
        <f>IF(F107+SUM(E$99:E107)=D$92,F107,D$92-SUM(E$99:E107))</f>
        <v>918550.5</v>
      </c>
      <c r="E108" s="484">
        <f t="shared" si="18"/>
        <v>28429</v>
      </c>
      <c r="F108" s="485">
        <f t="shared" si="19"/>
        <v>890121.5</v>
      </c>
      <c r="G108" s="485">
        <f t="shared" si="20"/>
        <v>904336</v>
      </c>
      <c r="H108" s="486">
        <f t="shared" si="21"/>
        <v>131335.91927890186</v>
      </c>
      <c r="I108" s="542">
        <f t="shared" si="22"/>
        <v>131335.91927890186</v>
      </c>
      <c r="J108" s="478">
        <f t="shared" si="14"/>
        <v>0</v>
      </c>
      <c r="K108" s="478"/>
      <c r="L108" s="487"/>
      <c r="M108" s="478">
        <f t="shared" si="23"/>
        <v>0</v>
      </c>
      <c r="N108" s="487"/>
      <c r="O108" s="478">
        <f t="shared" si="15"/>
        <v>0</v>
      </c>
      <c r="P108" s="478">
        <f t="shared" si="16"/>
        <v>0</v>
      </c>
    </row>
    <row r="109" spans="1:16">
      <c r="B109" s="160" t="str">
        <f t="shared" si="17"/>
        <v/>
      </c>
      <c r="C109" s="472">
        <f>IF(D93="","-",+C108+1)</f>
        <v>2028</v>
      </c>
      <c r="D109" s="347">
        <f>IF(F108+SUM(E$99:E108)=D$92,F108,D$92-SUM(E$99:E108))</f>
        <v>890121.5</v>
      </c>
      <c r="E109" s="484">
        <f t="shared" si="18"/>
        <v>28429</v>
      </c>
      <c r="F109" s="485">
        <f t="shared" si="19"/>
        <v>861692.5</v>
      </c>
      <c r="G109" s="485">
        <f t="shared" si="20"/>
        <v>875907</v>
      </c>
      <c r="H109" s="486">
        <f t="shared" si="21"/>
        <v>128100.90396581037</v>
      </c>
      <c r="I109" s="542">
        <f t="shared" si="22"/>
        <v>128100.90396581037</v>
      </c>
      <c r="J109" s="478">
        <f t="shared" si="14"/>
        <v>0</v>
      </c>
      <c r="K109" s="478"/>
      <c r="L109" s="487"/>
      <c r="M109" s="478">
        <f t="shared" si="23"/>
        <v>0</v>
      </c>
      <c r="N109" s="487"/>
      <c r="O109" s="478">
        <f t="shared" si="15"/>
        <v>0</v>
      </c>
      <c r="P109" s="478">
        <f t="shared" si="16"/>
        <v>0</v>
      </c>
    </row>
    <row r="110" spans="1:16">
      <c r="B110" s="160" t="str">
        <f t="shared" si="17"/>
        <v/>
      </c>
      <c r="C110" s="472">
        <f>IF(D93="","-",+C109+1)</f>
        <v>2029</v>
      </c>
      <c r="D110" s="347">
        <f>IF(F109+SUM(E$99:E109)=D$92,F109,D$92-SUM(E$99:E109))</f>
        <v>861692.5</v>
      </c>
      <c r="E110" s="484">
        <f t="shared" si="18"/>
        <v>28429</v>
      </c>
      <c r="F110" s="485">
        <f t="shared" si="19"/>
        <v>833263.5</v>
      </c>
      <c r="G110" s="485">
        <f t="shared" si="20"/>
        <v>847478</v>
      </c>
      <c r="H110" s="486">
        <f t="shared" si="21"/>
        <v>124865.88865271889</v>
      </c>
      <c r="I110" s="542">
        <f t="shared" si="22"/>
        <v>124865.88865271889</v>
      </c>
      <c r="J110" s="478">
        <f t="shared" si="14"/>
        <v>0</v>
      </c>
      <c r="K110" s="478"/>
      <c r="L110" s="487"/>
      <c r="M110" s="478">
        <f t="shared" si="23"/>
        <v>0</v>
      </c>
      <c r="N110" s="487"/>
      <c r="O110" s="478">
        <f t="shared" si="15"/>
        <v>0</v>
      </c>
      <c r="P110" s="478">
        <f t="shared" si="16"/>
        <v>0</v>
      </c>
    </row>
    <row r="111" spans="1:16">
      <c r="B111" s="160" t="str">
        <f t="shared" si="17"/>
        <v/>
      </c>
      <c r="C111" s="472">
        <f>IF(D93="","-",+C110+1)</f>
        <v>2030</v>
      </c>
      <c r="D111" s="347">
        <f>IF(F110+SUM(E$99:E110)=D$92,F110,D$92-SUM(E$99:E110))</f>
        <v>833263.5</v>
      </c>
      <c r="E111" s="484">
        <f t="shared" si="18"/>
        <v>28429</v>
      </c>
      <c r="F111" s="485">
        <f t="shared" si="19"/>
        <v>804834.5</v>
      </c>
      <c r="G111" s="485">
        <f t="shared" si="20"/>
        <v>819049</v>
      </c>
      <c r="H111" s="486">
        <f t="shared" si="21"/>
        <v>121630.8733396274</v>
      </c>
      <c r="I111" s="542">
        <f t="shared" si="22"/>
        <v>121630.8733396274</v>
      </c>
      <c r="J111" s="478">
        <f t="shared" si="14"/>
        <v>0</v>
      </c>
      <c r="K111" s="478"/>
      <c r="L111" s="487"/>
      <c r="M111" s="478">
        <f t="shared" si="23"/>
        <v>0</v>
      </c>
      <c r="N111" s="487"/>
      <c r="O111" s="478">
        <f t="shared" si="15"/>
        <v>0</v>
      </c>
      <c r="P111" s="478">
        <f t="shared" si="16"/>
        <v>0</v>
      </c>
    </row>
    <row r="112" spans="1:16">
      <c r="B112" s="160" t="str">
        <f t="shared" si="17"/>
        <v/>
      </c>
      <c r="C112" s="472">
        <f>IF(D93="","-",+C111+1)</f>
        <v>2031</v>
      </c>
      <c r="D112" s="347">
        <f>IF(F111+SUM(E$99:E111)=D$92,F111,D$92-SUM(E$99:E111))</f>
        <v>804834.5</v>
      </c>
      <c r="E112" s="484">
        <f t="shared" si="18"/>
        <v>28429</v>
      </c>
      <c r="F112" s="485">
        <f t="shared" si="19"/>
        <v>776405.5</v>
      </c>
      <c r="G112" s="485">
        <f t="shared" si="20"/>
        <v>790620</v>
      </c>
      <c r="H112" s="486">
        <f t="shared" si="21"/>
        <v>118395.85802653592</v>
      </c>
      <c r="I112" s="542">
        <f t="shared" si="22"/>
        <v>118395.85802653592</v>
      </c>
      <c r="J112" s="478">
        <f t="shared" si="14"/>
        <v>0</v>
      </c>
      <c r="K112" s="478"/>
      <c r="L112" s="487"/>
      <c r="M112" s="478">
        <f t="shared" si="23"/>
        <v>0</v>
      </c>
      <c r="N112" s="487"/>
      <c r="O112" s="478">
        <f t="shared" si="15"/>
        <v>0</v>
      </c>
      <c r="P112" s="478">
        <f t="shared" si="16"/>
        <v>0</v>
      </c>
    </row>
    <row r="113" spans="2:16">
      <c r="B113" s="160" t="str">
        <f t="shared" si="17"/>
        <v/>
      </c>
      <c r="C113" s="472">
        <f>IF(D93="","-",+C112+1)</f>
        <v>2032</v>
      </c>
      <c r="D113" s="347">
        <f>IF(F112+SUM(E$99:E112)=D$92,F112,D$92-SUM(E$99:E112))</f>
        <v>776405.5</v>
      </c>
      <c r="E113" s="484">
        <f t="shared" si="18"/>
        <v>28429</v>
      </c>
      <c r="F113" s="485">
        <f t="shared" si="19"/>
        <v>747976.5</v>
      </c>
      <c r="G113" s="485">
        <f t="shared" si="20"/>
        <v>762191</v>
      </c>
      <c r="H113" s="486">
        <f t="shared" si="21"/>
        <v>115160.84271344444</v>
      </c>
      <c r="I113" s="542">
        <f t="shared" si="22"/>
        <v>115160.84271344444</v>
      </c>
      <c r="J113" s="478">
        <f t="shared" si="14"/>
        <v>0</v>
      </c>
      <c r="K113" s="478"/>
      <c r="L113" s="487"/>
      <c r="M113" s="478">
        <f t="shared" si="23"/>
        <v>0</v>
      </c>
      <c r="N113" s="487"/>
      <c r="O113" s="478">
        <f t="shared" si="15"/>
        <v>0</v>
      </c>
      <c r="P113" s="478">
        <f t="shared" si="16"/>
        <v>0</v>
      </c>
    </row>
    <row r="114" spans="2:16">
      <c r="B114" s="160" t="str">
        <f t="shared" si="17"/>
        <v/>
      </c>
      <c r="C114" s="472">
        <f>IF(D93="","-",+C113+1)</f>
        <v>2033</v>
      </c>
      <c r="D114" s="347">
        <f>IF(F113+SUM(E$99:E113)=D$92,F113,D$92-SUM(E$99:E113))</f>
        <v>747976.5</v>
      </c>
      <c r="E114" s="484">
        <f t="shared" si="18"/>
        <v>28429</v>
      </c>
      <c r="F114" s="485">
        <f t="shared" si="19"/>
        <v>719547.5</v>
      </c>
      <c r="G114" s="485">
        <f t="shared" si="20"/>
        <v>733762</v>
      </c>
      <c r="H114" s="486">
        <f t="shared" si="21"/>
        <v>111925.82740035295</v>
      </c>
      <c r="I114" s="542">
        <f t="shared" si="22"/>
        <v>111925.82740035295</v>
      </c>
      <c r="J114" s="478">
        <f t="shared" si="14"/>
        <v>0</v>
      </c>
      <c r="K114" s="478"/>
      <c r="L114" s="487"/>
      <c r="M114" s="478">
        <f t="shared" si="23"/>
        <v>0</v>
      </c>
      <c r="N114" s="487"/>
      <c r="O114" s="478">
        <f t="shared" si="15"/>
        <v>0</v>
      </c>
      <c r="P114" s="478">
        <f t="shared" si="16"/>
        <v>0</v>
      </c>
    </row>
    <row r="115" spans="2:16">
      <c r="B115" s="160" t="str">
        <f t="shared" si="17"/>
        <v/>
      </c>
      <c r="C115" s="472">
        <f>IF(D93="","-",+C114+1)</f>
        <v>2034</v>
      </c>
      <c r="D115" s="347">
        <f>IF(F114+SUM(E$99:E114)=D$92,F114,D$92-SUM(E$99:E114))</f>
        <v>719547.5</v>
      </c>
      <c r="E115" s="484">
        <f t="shared" si="18"/>
        <v>28429</v>
      </c>
      <c r="F115" s="485">
        <f t="shared" si="19"/>
        <v>691118.5</v>
      </c>
      <c r="G115" s="485">
        <f t="shared" si="20"/>
        <v>705333</v>
      </c>
      <c r="H115" s="486">
        <f t="shared" si="21"/>
        <v>108690.81208726147</v>
      </c>
      <c r="I115" s="542">
        <f t="shared" si="22"/>
        <v>108690.81208726147</v>
      </c>
      <c r="J115" s="478">
        <f t="shared" si="14"/>
        <v>0</v>
      </c>
      <c r="K115" s="478"/>
      <c r="L115" s="487"/>
      <c r="M115" s="478">
        <f t="shared" si="23"/>
        <v>0</v>
      </c>
      <c r="N115" s="487"/>
      <c r="O115" s="478">
        <f t="shared" si="15"/>
        <v>0</v>
      </c>
      <c r="P115" s="478">
        <f t="shared" si="16"/>
        <v>0</v>
      </c>
    </row>
    <row r="116" spans="2:16">
      <c r="B116" s="160" t="str">
        <f t="shared" si="17"/>
        <v/>
      </c>
      <c r="C116" s="472">
        <f>IF(D93="","-",+C115+1)</f>
        <v>2035</v>
      </c>
      <c r="D116" s="347">
        <f>IF(F115+SUM(E$99:E115)=D$92,F115,D$92-SUM(E$99:E115))</f>
        <v>691118.5</v>
      </c>
      <c r="E116" s="484">
        <f t="shared" si="18"/>
        <v>28429</v>
      </c>
      <c r="F116" s="485">
        <f t="shared" si="19"/>
        <v>662689.5</v>
      </c>
      <c r="G116" s="485">
        <f t="shared" si="20"/>
        <v>676904</v>
      </c>
      <c r="H116" s="486">
        <f t="shared" si="21"/>
        <v>105455.79677416998</v>
      </c>
      <c r="I116" s="542">
        <f t="shared" si="22"/>
        <v>105455.79677416998</v>
      </c>
      <c r="J116" s="478">
        <f t="shared" si="14"/>
        <v>0</v>
      </c>
      <c r="K116" s="478"/>
      <c r="L116" s="487"/>
      <c r="M116" s="478">
        <f t="shared" si="23"/>
        <v>0</v>
      </c>
      <c r="N116" s="487"/>
      <c r="O116" s="478">
        <f t="shared" si="15"/>
        <v>0</v>
      </c>
      <c r="P116" s="478">
        <f t="shared" si="16"/>
        <v>0</v>
      </c>
    </row>
    <row r="117" spans="2:16">
      <c r="B117" s="160" t="str">
        <f t="shared" si="17"/>
        <v/>
      </c>
      <c r="C117" s="472">
        <f>IF(D93="","-",+C116+1)</f>
        <v>2036</v>
      </c>
      <c r="D117" s="347">
        <f>IF(F116+SUM(E$99:E116)=D$92,F116,D$92-SUM(E$99:E116))</f>
        <v>662689.5</v>
      </c>
      <c r="E117" s="484">
        <f t="shared" si="18"/>
        <v>28429</v>
      </c>
      <c r="F117" s="485">
        <f t="shared" si="19"/>
        <v>634260.5</v>
      </c>
      <c r="G117" s="485">
        <f t="shared" si="20"/>
        <v>648475</v>
      </c>
      <c r="H117" s="486">
        <f t="shared" si="21"/>
        <v>102220.7814610785</v>
      </c>
      <c r="I117" s="542">
        <f t="shared" si="22"/>
        <v>102220.7814610785</v>
      </c>
      <c r="J117" s="478">
        <f t="shared" si="14"/>
        <v>0</v>
      </c>
      <c r="K117" s="478"/>
      <c r="L117" s="487"/>
      <c r="M117" s="478">
        <f t="shared" si="23"/>
        <v>0</v>
      </c>
      <c r="N117" s="487"/>
      <c r="O117" s="478">
        <f t="shared" si="15"/>
        <v>0</v>
      </c>
      <c r="P117" s="478">
        <f t="shared" si="16"/>
        <v>0</v>
      </c>
    </row>
    <row r="118" spans="2:16">
      <c r="B118" s="160" t="str">
        <f t="shared" si="17"/>
        <v/>
      </c>
      <c r="C118" s="472">
        <f>IF(D93="","-",+C117+1)</f>
        <v>2037</v>
      </c>
      <c r="D118" s="347">
        <f>IF(F117+SUM(E$99:E117)=D$92,F117,D$92-SUM(E$99:E117))</f>
        <v>634260.5</v>
      </c>
      <c r="E118" s="484">
        <f t="shared" si="18"/>
        <v>28429</v>
      </c>
      <c r="F118" s="485">
        <f t="shared" si="19"/>
        <v>605831.5</v>
      </c>
      <c r="G118" s="485">
        <f t="shared" si="20"/>
        <v>620046</v>
      </c>
      <c r="H118" s="486">
        <f t="shared" si="21"/>
        <v>98985.766147987015</v>
      </c>
      <c r="I118" s="542">
        <f t="shared" si="22"/>
        <v>98985.766147987015</v>
      </c>
      <c r="J118" s="478">
        <f t="shared" si="14"/>
        <v>0</v>
      </c>
      <c r="K118" s="478"/>
      <c r="L118" s="487"/>
      <c r="M118" s="478">
        <f t="shared" si="23"/>
        <v>0</v>
      </c>
      <c r="N118" s="487"/>
      <c r="O118" s="478">
        <f t="shared" si="15"/>
        <v>0</v>
      </c>
      <c r="P118" s="478">
        <f t="shared" si="16"/>
        <v>0</v>
      </c>
    </row>
    <row r="119" spans="2:16">
      <c r="B119" s="160" t="str">
        <f t="shared" si="17"/>
        <v/>
      </c>
      <c r="C119" s="472">
        <f>IF(D93="","-",+C118+1)</f>
        <v>2038</v>
      </c>
      <c r="D119" s="347">
        <f>IF(F118+SUM(E$99:E118)=D$92,F118,D$92-SUM(E$99:E118))</f>
        <v>605831.5</v>
      </c>
      <c r="E119" s="484">
        <f t="shared" si="18"/>
        <v>28429</v>
      </c>
      <c r="F119" s="485">
        <f t="shared" si="19"/>
        <v>577402.5</v>
      </c>
      <c r="G119" s="485">
        <f t="shared" si="20"/>
        <v>591617</v>
      </c>
      <c r="H119" s="486">
        <f t="shared" si="21"/>
        <v>95750.750834895516</v>
      </c>
      <c r="I119" s="542">
        <f t="shared" si="22"/>
        <v>95750.750834895516</v>
      </c>
      <c r="J119" s="478">
        <f t="shared" si="14"/>
        <v>0</v>
      </c>
      <c r="K119" s="478"/>
      <c r="L119" s="487"/>
      <c r="M119" s="478">
        <f t="shared" si="23"/>
        <v>0</v>
      </c>
      <c r="N119" s="487"/>
      <c r="O119" s="478">
        <f t="shared" si="15"/>
        <v>0</v>
      </c>
      <c r="P119" s="478">
        <f t="shared" si="16"/>
        <v>0</v>
      </c>
    </row>
    <row r="120" spans="2:16">
      <c r="B120" s="160" t="str">
        <f t="shared" si="17"/>
        <v/>
      </c>
      <c r="C120" s="472">
        <f>IF(D93="","-",+C119+1)</f>
        <v>2039</v>
      </c>
      <c r="D120" s="347">
        <f>IF(F119+SUM(E$99:E119)=D$92,F119,D$92-SUM(E$99:E119))</f>
        <v>577402.5</v>
      </c>
      <c r="E120" s="484">
        <f t="shared" si="18"/>
        <v>28429</v>
      </c>
      <c r="F120" s="485">
        <f t="shared" si="19"/>
        <v>548973.5</v>
      </c>
      <c r="G120" s="485">
        <f t="shared" si="20"/>
        <v>563188</v>
      </c>
      <c r="H120" s="486">
        <f t="shared" si="21"/>
        <v>92515.735521804047</v>
      </c>
      <c r="I120" s="542">
        <f t="shared" si="22"/>
        <v>92515.735521804047</v>
      </c>
      <c r="J120" s="478">
        <f t="shared" si="14"/>
        <v>0</v>
      </c>
      <c r="K120" s="478"/>
      <c r="L120" s="487"/>
      <c r="M120" s="478">
        <f t="shared" si="23"/>
        <v>0</v>
      </c>
      <c r="N120" s="487"/>
      <c r="O120" s="478">
        <f t="shared" si="15"/>
        <v>0</v>
      </c>
      <c r="P120" s="478">
        <f t="shared" si="16"/>
        <v>0</v>
      </c>
    </row>
    <row r="121" spans="2:16">
      <c r="B121" s="160" t="str">
        <f t="shared" si="17"/>
        <v/>
      </c>
      <c r="C121" s="472">
        <f>IF(D93="","-",+C120+1)</f>
        <v>2040</v>
      </c>
      <c r="D121" s="347">
        <f>IF(F120+SUM(E$99:E120)=D$92,F120,D$92-SUM(E$99:E120))</f>
        <v>548973.5</v>
      </c>
      <c r="E121" s="484">
        <f t="shared" si="18"/>
        <v>28429</v>
      </c>
      <c r="F121" s="485">
        <f t="shared" si="19"/>
        <v>520544.5</v>
      </c>
      <c r="G121" s="485">
        <f t="shared" si="20"/>
        <v>534759</v>
      </c>
      <c r="H121" s="486">
        <f t="shared" si="21"/>
        <v>89280.720208712562</v>
      </c>
      <c r="I121" s="542">
        <f t="shared" si="22"/>
        <v>89280.720208712562</v>
      </c>
      <c r="J121" s="478">
        <f t="shared" si="14"/>
        <v>0</v>
      </c>
      <c r="K121" s="478"/>
      <c r="L121" s="487"/>
      <c r="M121" s="478">
        <f t="shared" si="23"/>
        <v>0</v>
      </c>
      <c r="N121" s="487"/>
      <c r="O121" s="478">
        <f t="shared" si="15"/>
        <v>0</v>
      </c>
      <c r="P121" s="478">
        <f t="shared" si="16"/>
        <v>0</v>
      </c>
    </row>
    <row r="122" spans="2:16">
      <c r="B122" s="160" t="str">
        <f t="shared" si="17"/>
        <v/>
      </c>
      <c r="C122" s="472">
        <f>IF(D93="","-",+C121+1)</f>
        <v>2041</v>
      </c>
      <c r="D122" s="347">
        <f>IF(F121+SUM(E$99:E121)=D$92,F121,D$92-SUM(E$99:E121))</f>
        <v>520544.5</v>
      </c>
      <c r="E122" s="484">
        <f t="shared" si="18"/>
        <v>28429</v>
      </c>
      <c r="F122" s="485">
        <f t="shared" si="19"/>
        <v>492115.5</v>
      </c>
      <c r="G122" s="485">
        <f t="shared" si="20"/>
        <v>506330</v>
      </c>
      <c r="H122" s="486">
        <f t="shared" si="21"/>
        <v>86045.704895621078</v>
      </c>
      <c r="I122" s="542">
        <f t="shared" si="22"/>
        <v>86045.704895621078</v>
      </c>
      <c r="J122" s="478">
        <f t="shared" si="14"/>
        <v>0</v>
      </c>
      <c r="K122" s="478"/>
      <c r="L122" s="487"/>
      <c r="M122" s="478">
        <f t="shared" si="23"/>
        <v>0</v>
      </c>
      <c r="N122" s="487"/>
      <c r="O122" s="478">
        <f t="shared" si="15"/>
        <v>0</v>
      </c>
      <c r="P122" s="478">
        <f t="shared" si="16"/>
        <v>0</v>
      </c>
    </row>
    <row r="123" spans="2:16">
      <c r="B123" s="160" t="str">
        <f t="shared" si="17"/>
        <v/>
      </c>
      <c r="C123" s="472">
        <f>IF(D93="","-",+C122+1)</f>
        <v>2042</v>
      </c>
      <c r="D123" s="347">
        <f>IF(F122+SUM(E$99:E122)=D$92,F122,D$92-SUM(E$99:E122))</f>
        <v>492115.5</v>
      </c>
      <c r="E123" s="484">
        <f t="shared" si="18"/>
        <v>28429</v>
      </c>
      <c r="F123" s="485">
        <f t="shared" si="19"/>
        <v>463686.5</v>
      </c>
      <c r="G123" s="485">
        <f t="shared" si="20"/>
        <v>477901</v>
      </c>
      <c r="H123" s="486">
        <f t="shared" si="21"/>
        <v>82810.689582529594</v>
      </c>
      <c r="I123" s="542">
        <f t="shared" si="22"/>
        <v>82810.689582529594</v>
      </c>
      <c r="J123" s="478">
        <f t="shared" si="14"/>
        <v>0</v>
      </c>
      <c r="K123" s="478"/>
      <c r="L123" s="487"/>
      <c r="M123" s="478">
        <f t="shared" si="23"/>
        <v>0</v>
      </c>
      <c r="N123" s="487"/>
      <c r="O123" s="478">
        <f t="shared" si="15"/>
        <v>0</v>
      </c>
      <c r="P123" s="478">
        <f t="shared" si="16"/>
        <v>0</v>
      </c>
    </row>
    <row r="124" spans="2:16">
      <c r="B124" s="160" t="str">
        <f t="shared" si="17"/>
        <v/>
      </c>
      <c r="C124" s="472">
        <f>IF(D93="","-",+C123+1)</f>
        <v>2043</v>
      </c>
      <c r="D124" s="347">
        <f>IF(F123+SUM(E$99:E123)=D$92,F123,D$92-SUM(E$99:E123))</f>
        <v>463686.5</v>
      </c>
      <c r="E124" s="484">
        <f t="shared" si="18"/>
        <v>28429</v>
      </c>
      <c r="F124" s="485">
        <f t="shared" si="19"/>
        <v>435257.5</v>
      </c>
      <c r="G124" s="485">
        <f t="shared" si="20"/>
        <v>449472</v>
      </c>
      <c r="H124" s="486">
        <f t="shared" si="21"/>
        <v>79575.67426943811</v>
      </c>
      <c r="I124" s="542">
        <f t="shared" si="22"/>
        <v>79575.67426943811</v>
      </c>
      <c r="J124" s="478">
        <f t="shared" si="14"/>
        <v>0</v>
      </c>
      <c r="K124" s="478"/>
      <c r="L124" s="487"/>
      <c r="M124" s="478">
        <f t="shared" si="23"/>
        <v>0</v>
      </c>
      <c r="N124" s="487"/>
      <c r="O124" s="478">
        <f t="shared" si="15"/>
        <v>0</v>
      </c>
      <c r="P124" s="478">
        <f t="shared" si="16"/>
        <v>0</v>
      </c>
    </row>
    <row r="125" spans="2:16">
      <c r="B125" s="160" t="str">
        <f t="shared" si="17"/>
        <v/>
      </c>
      <c r="C125" s="472">
        <f>IF(D93="","-",+C124+1)</f>
        <v>2044</v>
      </c>
      <c r="D125" s="347">
        <f>IF(F124+SUM(E$99:E124)=D$92,F124,D$92-SUM(E$99:E124))</f>
        <v>435257.5</v>
      </c>
      <c r="E125" s="484">
        <f t="shared" si="18"/>
        <v>28429</v>
      </c>
      <c r="F125" s="485">
        <f t="shared" si="19"/>
        <v>406828.5</v>
      </c>
      <c r="G125" s="485">
        <f t="shared" si="20"/>
        <v>421043</v>
      </c>
      <c r="H125" s="486">
        <f t="shared" si="21"/>
        <v>76340.658956346626</v>
      </c>
      <c r="I125" s="542">
        <f t="shared" si="22"/>
        <v>76340.658956346626</v>
      </c>
      <c r="J125" s="478">
        <f t="shared" si="14"/>
        <v>0</v>
      </c>
      <c r="K125" s="478"/>
      <c r="L125" s="487"/>
      <c r="M125" s="478">
        <f t="shared" si="23"/>
        <v>0</v>
      </c>
      <c r="N125" s="487"/>
      <c r="O125" s="478">
        <f t="shared" si="15"/>
        <v>0</v>
      </c>
      <c r="P125" s="478">
        <f t="shared" si="16"/>
        <v>0</v>
      </c>
    </row>
    <row r="126" spans="2:16">
      <c r="B126" s="160" t="str">
        <f t="shared" si="17"/>
        <v/>
      </c>
      <c r="C126" s="472">
        <f>IF(D93="","-",+C125+1)</f>
        <v>2045</v>
      </c>
      <c r="D126" s="347">
        <f>IF(F125+SUM(E$99:E125)=D$92,F125,D$92-SUM(E$99:E125))</f>
        <v>406828.5</v>
      </c>
      <c r="E126" s="484">
        <f t="shared" si="18"/>
        <v>28429</v>
      </c>
      <c r="F126" s="485">
        <f t="shared" si="19"/>
        <v>378399.5</v>
      </c>
      <c r="G126" s="485">
        <f t="shared" si="20"/>
        <v>392614</v>
      </c>
      <c r="H126" s="486">
        <f t="shared" si="21"/>
        <v>73105.643643255142</v>
      </c>
      <c r="I126" s="542">
        <f t="shared" si="22"/>
        <v>73105.643643255142</v>
      </c>
      <c r="J126" s="478">
        <f t="shared" si="14"/>
        <v>0</v>
      </c>
      <c r="K126" s="478"/>
      <c r="L126" s="487"/>
      <c r="M126" s="478">
        <f t="shared" si="23"/>
        <v>0</v>
      </c>
      <c r="N126" s="487"/>
      <c r="O126" s="478">
        <f t="shared" si="15"/>
        <v>0</v>
      </c>
      <c r="P126" s="478">
        <f t="shared" si="16"/>
        <v>0</v>
      </c>
    </row>
    <row r="127" spans="2:16">
      <c r="B127" s="160" t="str">
        <f t="shared" si="17"/>
        <v/>
      </c>
      <c r="C127" s="472">
        <f>IF(D93="","-",+C126+1)</f>
        <v>2046</v>
      </c>
      <c r="D127" s="347">
        <f>IF(F126+SUM(E$99:E126)=D$92,F126,D$92-SUM(E$99:E126))</f>
        <v>378399.5</v>
      </c>
      <c r="E127" s="484">
        <f t="shared" si="18"/>
        <v>28429</v>
      </c>
      <c r="F127" s="485">
        <f t="shared" si="19"/>
        <v>349970.5</v>
      </c>
      <c r="G127" s="485">
        <f t="shared" si="20"/>
        <v>364185</v>
      </c>
      <c r="H127" s="486">
        <f t="shared" si="21"/>
        <v>69870.628330163643</v>
      </c>
      <c r="I127" s="542">
        <f t="shared" si="22"/>
        <v>69870.628330163643</v>
      </c>
      <c r="J127" s="478">
        <f t="shared" si="14"/>
        <v>0</v>
      </c>
      <c r="K127" s="478"/>
      <c r="L127" s="487"/>
      <c r="M127" s="478">
        <f t="shared" si="23"/>
        <v>0</v>
      </c>
      <c r="N127" s="487"/>
      <c r="O127" s="478">
        <f t="shared" si="15"/>
        <v>0</v>
      </c>
      <c r="P127" s="478">
        <f t="shared" si="16"/>
        <v>0</v>
      </c>
    </row>
    <row r="128" spans="2:16">
      <c r="B128" s="160" t="str">
        <f t="shared" si="17"/>
        <v/>
      </c>
      <c r="C128" s="472">
        <f>IF(D93="","-",+C127+1)</f>
        <v>2047</v>
      </c>
      <c r="D128" s="347">
        <f>IF(F127+SUM(E$99:E127)=D$92,F127,D$92-SUM(E$99:E127))</f>
        <v>349970.5</v>
      </c>
      <c r="E128" s="484">
        <f t="shared" si="18"/>
        <v>28429</v>
      </c>
      <c r="F128" s="485">
        <f t="shared" si="19"/>
        <v>321541.5</v>
      </c>
      <c r="G128" s="485">
        <f t="shared" si="20"/>
        <v>335756</v>
      </c>
      <c r="H128" s="486">
        <f t="shared" si="21"/>
        <v>66635.613017072159</v>
      </c>
      <c r="I128" s="542">
        <f t="shared" si="22"/>
        <v>66635.613017072159</v>
      </c>
      <c r="J128" s="478">
        <f t="shared" si="14"/>
        <v>0</v>
      </c>
      <c r="K128" s="478"/>
      <c r="L128" s="487"/>
      <c r="M128" s="478">
        <f t="shared" si="23"/>
        <v>0</v>
      </c>
      <c r="N128" s="487"/>
      <c r="O128" s="478">
        <f t="shared" si="15"/>
        <v>0</v>
      </c>
      <c r="P128" s="478">
        <f t="shared" si="16"/>
        <v>0</v>
      </c>
    </row>
    <row r="129" spans="2:16">
      <c r="B129" s="160" t="str">
        <f t="shared" si="17"/>
        <v/>
      </c>
      <c r="C129" s="472">
        <f>IF(D93="","-",+C128+1)</f>
        <v>2048</v>
      </c>
      <c r="D129" s="347">
        <f>IF(F128+SUM(E$99:E128)=D$92,F128,D$92-SUM(E$99:E128))</f>
        <v>321541.5</v>
      </c>
      <c r="E129" s="484">
        <f t="shared" si="18"/>
        <v>28429</v>
      </c>
      <c r="F129" s="485">
        <f t="shared" si="19"/>
        <v>293112.5</v>
      </c>
      <c r="G129" s="485">
        <f t="shared" si="20"/>
        <v>307327</v>
      </c>
      <c r="H129" s="486">
        <f t="shared" si="21"/>
        <v>63400.597703980675</v>
      </c>
      <c r="I129" s="542">
        <f t="shared" si="22"/>
        <v>63400.597703980675</v>
      </c>
      <c r="J129" s="478">
        <f t="shared" si="14"/>
        <v>0</v>
      </c>
      <c r="K129" s="478"/>
      <c r="L129" s="487"/>
      <c r="M129" s="478">
        <f t="shared" si="23"/>
        <v>0</v>
      </c>
      <c r="N129" s="487"/>
      <c r="O129" s="478">
        <f t="shared" si="15"/>
        <v>0</v>
      </c>
      <c r="P129" s="478">
        <f t="shared" si="16"/>
        <v>0</v>
      </c>
    </row>
    <row r="130" spans="2:16">
      <c r="B130" s="160" t="str">
        <f t="shared" si="17"/>
        <v/>
      </c>
      <c r="C130" s="472">
        <f>IF(D93="","-",+C129+1)</f>
        <v>2049</v>
      </c>
      <c r="D130" s="347">
        <f>IF(F129+SUM(E$99:E129)=D$92,F129,D$92-SUM(E$99:E129))</f>
        <v>293112.5</v>
      </c>
      <c r="E130" s="484">
        <f t="shared" si="18"/>
        <v>28429</v>
      </c>
      <c r="F130" s="485">
        <f t="shared" si="19"/>
        <v>264683.5</v>
      </c>
      <c r="G130" s="485">
        <f t="shared" si="20"/>
        <v>278898</v>
      </c>
      <c r="H130" s="486">
        <f t="shared" si="21"/>
        <v>60165.582390889191</v>
      </c>
      <c r="I130" s="542">
        <f t="shared" si="22"/>
        <v>60165.582390889191</v>
      </c>
      <c r="J130" s="478">
        <f t="shared" si="14"/>
        <v>0</v>
      </c>
      <c r="K130" s="478"/>
      <c r="L130" s="487"/>
      <c r="M130" s="478">
        <f t="shared" si="23"/>
        <v>0</v>
      </c>
      <c r="N130" s="487"/>
      <c r="O130" s="478">
        <f t="shared" si="15"/>
        <v>0</v>
      </c>
      <c r="P130" s="478">
        <f t="shared" si="16"/>
        <v>0</v>
      </c>
    </row>
    <row r="131" spans="2:16">
      <c r="B131" s="160" t="str">
        <f t="shared" si="17"/>
        <v/>
      </c>
      <c r="C131" s="472">
        <f>IF(D93="","-",+C130+1)</f>
        <v>2050</v>
      </c>
      <c r="D131" s="347">
        <f>IF(F130+SUM(E$99:E130)=D$92,F130,D$92-SUM(E$99:E130))</f>
        <v>264683.5</v>
      </c>
      <c r="E131" s="484">
        <f t="shared" si="18"/>
        <v>28429</v>
      </c>
      <c r="F131" s="485">
        <f t="shared" si="19"/>
        <v>236254.5</v>
      </c>
      <c r="G131" s="485">
        <f t="shared" si="20"/>
        <v>250469</v>
      </c>
      <c r="H131" s="486">
        <f t="shared" si="21"/>
        <v>56930.567077797707</v>
      </c>
      <c r="I131" s="542">
        <f t="shared" si="22"/>
        <v>56930.567077797707</v>
      </c>
      <c r="J131" s="478">
        <f t="shared" ref="J131:J154" si="24">+I541-H541</f>
        <v>0</v>
      </c>
      <c r="K131" s="478"/>
      <c r="L131" s="487"/>
      <c r="M131" s="478">
        <f t="shared" ref="M131:M154" si="25">IF(L541&lt;&gt;0,+H541-L541,0)</f>
        <v>0</v>
      </c>
      <c r="N131" s="487"/>
      <c r="O131" s="478">
        <f t="shared" ref="O131:O154" si="26">IF(N541&lt;&gt;0,+I541-N541,0)</f>
        <v>0</v>
      </c>
      <c r="P131" s="478">
        <f t="shared" ref="P131:P154" si="27">+O541-M541</f>
        <v>0</v>
      </c>
    </row>
    <row r="132" spans="2:16">
      <c r="B132" s="160" t="str">
        <f t="shared" si="17"/>
        <v/>
      </c>
      <c r="C132" s="472">
        <f>IF(D93="","-",+C131+1)</f>
        <v>2051</v>
      </c>
      <c r="D132" s="347">
        <f>IF(F131+SUM(E$99:E131)=D$92,F131,D$92-SUM(E$99:E131))</f>
        <v>236254.5</v>
      </c>
      <c r="E132" s="484">
        <f t="shared" si="18"/>
        <v>28429</v>
      </c>
      <c r="F132" s="485">
        <f t="shared" si="19"/>
        <v>207825.5</v>
      </c>
      <c r="G132" s="485">
        <f t="shared" si="20"/>
        <v>222040</v>
      </c>
      <c r="H132" s="486">
        <f t="shared" si="21"/>
        <v>53695.551764706222</v>
      </c>
      <c r="I132" s="542">
        <f t="shared" si="22"/>
        <v>53695.551764706222</v>
      </c>
      <c r="J132" s="478">
        <f t="shared" si="24"/>
        <v>0</v>
      </c>
      <c r="K132" s="478"/>
      <c r="L132" s="487"/>
      <c r="M132" s="478">
        <f t="shared" si="25"/>
        <v>0</v>
      </c>
      <c r="N132" s="487"/>
      <c r="O132" s="478">
        <f t="shared" si="26"/>
        <v>0</v>
      </c>
      <c r="P132" s="478">
        <f t="shared" si="27"/>
        <v>0</v>
      </c>
    </row>
    <row r="133" spans="2:16">
      <c r="B133" s="160" t="str">
        <f t="shared" si="17"/>
        <v/>
      </c>
      <c r="C133" s="472">
        <f>IF(D93="","-",+C132+1)</f>
        <v>2052</v>
      </c>
      <c r="D133" s="347">
        <f>IF(F132+SUM(E$99:E132)=D$92,F132,D$92-SUM(E$99:E132))</f>
        <v>207825.5</v>
      </c>
      <c r="E133" s="484">
        <f t="shared" si="18"/>
        <v>28429</v>
      </c>
      <c r="F133" s="485">
        <f t="shared" si="19"/>
        <v>179396.5</v>
      </c>
      <c r="G133" s="485">
        <f t="shared" si="20"/>
        <v>193611</v>
      </c>
      <c r="H133" s="486">
        <f t="shared" si="21"/>
        <v>50460.536451614738</v>
      </c>
      <c r="I133" s="542">
        <f t="shared" si="22"/>
        <v>50460.536451614738</v>
      </c>
      <c r="J133" s="478">
        <f t="shared" si="24"/>
        <v>0</v>
      </c>
      <c r="K133" s="478"/>
      <c r="L133" s="487"/>
      <c r="M133" s="478">
        <f t="shared" si="25"/>
        <v>0</v>
      </c>
      <c r="N133" s="487"/>
      <c r="O133" s="478">
        <f t="shared" si="26"/>
        <v>0</v>
      </c>
      <c r="P133" s="478">
        <f t="shared" si="27"/>
        <v>0</v>
      </c>
    </row>
    <row r="134" spans="2:16">
      <c r="B134" s="160" t="str">
        <f t="shared" si="17"/>
        <v/>
      </c>
      <c r="C134" s="472">
        <f>IF(D93="","-",+C133+1)</f>
        <v>2053</v>
      </c>
      <c r="D134" s="347">
        <f>IF(F133+SUM(E$99:E133)=D$92,F133,D$92-SUM(E$99:E133))</f>
        <v>179396.5</v>
      </c>
      <c r="E134" s="484">
        <f t="shared" si="18"/>
        <v>28429</v>
      </c>
      <c r="F134" s="485">
        <f t="shared" si="19"/>
        <v>150967.5</v>
      </c>
      <c r="G134" s="485">
        <f t="shared" si="20"/>
        <v>165182</v>
      </c>
      <c r="H134" s="486">
        <f t="shared" si="21"/>
        <v>47225.521138523254</v>
      </c>
      <c r="I134" s="542">
        <f t="shared" si="22"/>
        <v>47225.521138523254</v>
      </c>
      <c r="J134" s="478">
        <f t="shared" si="24"/>
        <v>0</v>
      </c>
      <c r="K134" s="478"/>
      <c r="L134" s="487"/>
      <c r="M134" s="478">
        <f t="shared" si="25"/>
        <v>0</v>
      </c>
      <c r="N134" s="487"/>
      <c r="O134" s="478">
        <f t="shared" si="26"/>
        <v>0</v>
      </c>
      <c r="P134" s="478">
        <f t="shared" si="27"/>
        <v>0</v>
      </c>
    </row>
    <row r="135" spans="2:16">
      <c r="B135" s="160" t="str">
        <f t="shared" si="17"/>
        <v/>
      </c>
      <c r="C135" s="472">
        <f>IF(D93="","-",+C134+1)</f>
        <v>2054</v>
      </c>
      <c r="D135" s="347">
        <f>IF(F134+SUM(E$99:E134)=D$92,F134,D$92-SUM(E$99:E134))</f>
        <v>150967.5</v>
      </c>
      <c r="E135" s="484">
        <f t="shared" si="18"/>
        <v>28429</v>
      </c>
      <c r="F135" s="485">
        <f t="shared" si="19"/>
        <v>122538.5</v>
      </c>
      <c r="G135" s="485">
        <f t="shared" si="20"/>
        <v>136753</v>
      </c>
      <c r="H135" s="486">
        <f t="shared" si="21"/>
        <v>43990.50582543177</v>
      </c>
      <c r="I135" s="542">
        <f t="shared" si="22"/>
        <v>43990.50582543177</v>
      </c>
      <c r="J135" s="478">
        <f t="shared" si="24"/>
        <v>0</v>
      </c>
      <c r="K135" s="478"/>
      <c r="L135" s="487"/>
      <c r="M135" s="478">
        <f t="shared" si="25"/>
        <v>0</v>
      </c>
      <c r="N135" s="487"/>
      <c r="O135" s="478">
        <f t="shared" si="26"/>
        <v>0</v>
      </c>
      <c r="P135" s="478">
        <f t="shared" si="27"/>
        <v>0</v>
      </c>
    </row>
    <row r="136" spans="2:16">
      <c r="B136" s="160" t="str">
        <f t="shared" si="17"/>
        <v/>
      </c>
      <c r="C136" s="472">
        <f>IF(D93="","-",+C135+1)</f>
        <v>2055</v>
      </c>
      <c r="D136" s="347">
        <f>IF(F135+SUM(E$99:E135)=D$92,F135,D$92-SUM(E$99:E135))</f>
        <v>122538.5</v>
      </c>
      <c r="E136" s="484">
        <f t="shared" si="18"/>
        <v>28429</v>
      </c>
      <c r="F136" s="485">
        <f t="shared" si="19"/>
        <v>94109.5</v>
      </c>
      <c r="G136" s="485">
        <f t="shared" si="20"/>
        <v>108324</v>
      </c>
      <c r="H136" s="486">
        <f t="shared" si="21"/>
        <v>40755.490512340286</v>
      </c>
      <c r="I136" s="542">
        <f t="shared" si="22"/>
        <v>40755.490512340286</v>
      </c>
      <c r="J136" s="478">
        <f t="shared" si="24"/>
        <v>0</v>
      </c>
      <c r="K136" s="478"/>
      <c r="L136" s="487"/>
      <c r="M136" s="478">
        <f t="shared" si="25"/>
        <v>0</v>
      </c>
      <c r="N136" s="487"/>
      <c r="O136" s="478">
        <f t="shared" si="26"/>
        <v>0</v>
      </c>
      <c r="P136" s="478">
        <f t="shared" si="27"/>
        <v>0</v>
      </c>
    </row>
    <row r="137" spans="2:16">
      <c r="B137" s="160" t="str">
        <f t="shared" si="17"/>
        <v/>
      </c>
      <c r="C137" s="472">
        <f>IF(D93="","-",+C136+1)</f>
        <v>2056</v>
      </c>
      <c r="D137" s="347">
        <f>IF(F136+SUM(E$99:E136)=D$92,F136,D$92-SUM(E$99:E136))</f>
        <v>94109.5</v>
      </c>
      <c r="E137" s="484">
        <f t="shared" si="18"/>
        <v>28429</v>
      </c>
      <c r="F137" s="485">
        <f t="shared" si="19"/>
        <v>65680.5</v>
      </c>
      <c r="G137" s="485">
        <f t="shared" si="20"/>
        <v>79895</v>
      </c>
      <c r="H137" s="486">
        <f t="shared" si="21"/>
        <v>37520.475199248802</v>
      </c>
      <c r="I137" s="542">
        <f t="shared" si="22"/>
        <v>37520.475199248802</v>
      </c>
      <c r="J137" s="478">
        <f t="shared" si="24"/>
        <v>0</v>
      </c>
      <c r="K137" s="478"/>
      <c r="L137" s="487"/>
      <c r="M137" s="478">
        <f t="shared" si="25"/>
        <v>0</v>
      </c>
      <c r="N137" s="487"/>
      <c r="O137" s="478">
        <f t="shared" si="26"/>
        <v>0</v>
      </c>
      <c r="P137" s="478">
        <f t="shared" si="27"/>
        <v>0</v>
      </c>
    </row>
    <row r="138" spans="2:16">
      <c r="B138" s="160" t="str">
        <f t="shared" si="17"/>
        <v/>
      </c>
      <c r="C138" s="472">
        <f>IF(D93="","-",+C137+1)</f>
        <v>2057</v>
      </c>
      <c r="D138" s="347">
        <f>IF(F137+SUM(E$99:E137)=D$92,F137,D$92-SUM(E$99:E137))</f>
        <v>65680.5</v>
      </c>
      <c r="E138" s="484">
        <f t="shared" si="18"/>
        <v>28429</v>
      </c>
      <c r="F138" s="485">
        <f t="shared" si="19"/>
        <v>37251.5</v>
      </c>
      <c r="G138" s="485">
        <f t="shared" si="20"/>
        <v>51466</v>
      </c>
      <c r="H138" s="486">
        <f t="shared" si="21"/>
        <v>34285.459886157318</v>
      </c>
      <c r="I138" s="542">
        <f t="shared" si="22"/>
        <v>34285.459886157318</v>
      </c>
      <c r="J138" s="478">
        <f t="shared" si="24"/>
        <v>0</v>
      </c>
      <c r="K138" s="478"/>
      <c r="L138" s="487"/>
      <c r="M138" s="478">
        <f t="shared" si="25"/>
        <v>0</v>
      </c>
      <c r="N138" s="487"/>
      <c r="O138" s="478">
        <f t="shared" si="26"/>
        <v>0</v>
      </c>
      <c r="P138" s="478">
        <f t="shared" si="27"/>
        <v>0</v>
      </c>
    </row>
    <row r="139" spans="2:16">
      <c r="B139" s="160" t="str">
        <f t="shared" si="17"/>
        <v/>
      </c>
      <c r="C139" s="472">
        <f>IF(D93="","-",+C138+1)</f>
        <v>2058</v>
      </c>
      <c r="D139" s="347">
        <f>IF(F138+SUM(E$99:E138)=D$92,F138,D$92-SUM(E$99:E138))</f>
        <v>37251.5</v>
      </c>
      <c r="E139" s="484">
        <f t="shared" si="18"/>
        <v>28429</v>
      </c>
      <c r="F139" s="485">
        <f t="shared" si="19"/>
        <v>8822.5</v>
      </c>
      <c r="G139" s="485">
        <f t="shared" si="20"/>
        <v>23037</v>
      </c>
      <c r="H139" s="486">
        <f t="shared" si="21"/>
        <v>31050.444573065834</v>
      </c>
      <c r="I139" s="542">
        <f t="shared" si="22"/>
        <v>31050.444573065834</v>
      </c>
      <c r="J139" s="478">
        <f t="shared" si="24"/>
        <v>0</v>
      </c>
      <c r="K139" s="478"/>
      <c r="L139" s="487"/>
      <c r="M139" s="478">
        <f t="shared" si="25"/>
        <v>0</v>
      </c>
      <c r="N139" s="487"/>
      <c r="O139" s="478">
        <f t="shared" si="26"/>
        <v>0</v>
      </c>
      <c r="P139" s="478">
        <f t="shared" si="27"/>
        <v>0</v>
      </c>
    </row>
    <row r="140" spans="2:16">
      <c r="B140" s="160" t="str">
        <f t="shared" si="17"/>
        <v/>
      </c>
      <c r="C140" s="472">
        <f>IF(D93="","-",+C139+1)</f>
        <v>2059</v>
      </c>
      <c r="D140" s="347">
        <f>IF(F139+SUM(E$99:E139)=D$92,F139,D$92-SUM(E$99:E139))</f>
        <v>8822.5</v>
      </c>
      <c r="E140" s="484">
        <f t="shared" si="18"/>
        <v>8822.5</v>
      </c>
      <c r="F140" s="485">
        <f t="shared" si="19"/>
        <v>0</v>
      </c>
      <c r="G140" s="485">
        <f t="shared" si="20"/>
        <v>4411.25</v>
      </c>
      <c r="H140" s="486">
        <f t="shared" si="21"/>
        <v>9324.4684582600439</v>
      </c>
      <c r="I140" s="542">
        <f t="shared" si="22"/>
        <v>9324.4684582600439</v>
      </c>
      <c r="J140" s="478">
        <f t="shared" si="24"/>
        <v>0</v>
      </c>
      <c r="K140" s="478"/>
      <c r="L140" s="487"/>
      <c r="M140" s="478">
        <f t="shared" si="25"/>
        <v>0</v>
      </c>
      <c r="N140" s="487"/>
      <c r="O140" s="478">
        <f t="shared" si="26"/>
        <v>0</v>
      </c>
      <c r="P140" s="478">
        <f t="shared" si="27"/>
        <v>0</v>
      </c>
    </row>
    <row r="141" spans="2:16">
      <c r="B141" s="160" t="str">
        <f t="shared" si="17"/>
        <v/>
      </c>
      <c r="C141" s="472">
        <f>IF(D93="","-",+C140+1)</f>
        <v>2060</v>
      </c>
      <c r="D141" s="347">
        <f>IF(F140+SUM(E$99:E140)=D$92,F140,D$92-SUM(E$99:E140))</f>
        <v>0</v>
      </c>
      <c r="E141" s="484">
        <f t="shared" si="18"/>
        <v>0</v>
      </c>
      <c r="F141" s="485">
        <f t="shared" si="19"/>
        <v>0</v>
      </c>
      <c r="G141" s="485">
        <f t="shared" si="20"/>
        <v>0</v>
      </c>
      <c r="H141" s="486">
        <f t="shared" si="21"/>
        <v>0</v>
      </c>
      <c r="I141" s="542">
        <f t="shared" si="22"/>
        <v>0</v>
      </c>
      <c r="J141" s="478">
        <f t="shared" si="24"/>
        <v>0</v>
      </c>
      <c r="K141" s="478"/>
      <c r="L141" s="487"/>
      <c r="M141" s="478">
        <f t="shared" si="25"/>
        <v>0</v>
      </c>
      <c r="N141" s="487"/>
      <c r="O141" s="478">
        <f t="shared" si="26"/>
        <v>0</v>
      </c>
      <c r="P141" s="478">
        <f t="shared" si="27"/>
        <v>0</v>
      </c>
    </row>
    <row r="142" spans="2:16">
      <c r="B142" s="160" t="str">
        <f t="shared" si="17"/>
        <v/>
      </c>
      <c r="C142" s="472">
        <f>IF(D93="","-",+C141+1)</f>
        <v>2061</v>
      </c>
      <c r="D142" s="347">
        <f>IF(F141+SUM(E$99:E141)=D$92,F141,D$92-SUM(E$99:E141))</f>
        <v>0</v>
      </c>
      <c r="E142" s="484">
        <f t="shared" si="18"/>
        <v>0</v>
      </c>
      <c r="F142" s="485">
        <f t="shared" si="19"/>
        <v>0</v>
      </c>
      <c r="G142" s="485">
        <f t="shared" si="20"/>
        <v>0</v>
      </c>
      <c r="H142" s="486">
        <f t="shared" si="21"/>
        <v>0</v>
      </c>
      <c r="I142" s="542">
        <f t="shared" si="22"/>
        <v>0</v>
      </c>
      <c r="J142" s="478">
        <f t="shared" si="24"/>
        <v>0</v>
      </c>
      <c r="K142" s="478"/>
      <c r="L142" s="487"/>
      <c r="M142" s="478">
        <f t="shared" si="25"/>
        <v>0</v>
      </c>
      <c r="N142" s="487"/>
      <c r="O142" s="478">
        <f t="shared" si="26"/>
        <v>0</v>
      </c>
      <c r="P142" s="478">
        <f t="shared" si="27"/>
        <v>0</v>
      </c>
    </row>
    <row r="143" spans="2:16">
      <c r="B143" s="160" t="str">
        <f t="shared" si="17"/>
        <v/>
      </c>
      <c r="C143" s="472">
        <f>IF(D93="","-",+C142+1)</f>
        <v>2062</v>
      </c>
      <c r="D143" s="347">
        <f>IF(F142+SUM(E$99:E142)=D$92,F142,D$92-SUM(E$99:E142))</f>
        <v>0</v>
      </c>
      <c r="E143" s="484">
        <f t="shared" si="18"/>
        <v>0</v>
      </c>
      <c r="F143" s="485">
        <f t="shared" si="19"/>
        <v>0</v>
      </c>
      <c r="G143" s="485">
        <f t="shared" si="20"/>
        <v>0</v>
      </c>
      <c r="H143" s="486">
        <f t="shared" si="21"/>
        <v>0</v>
      </c>
      <c r="I143" s="542">
        <f t="shared" si="22"/>
        <v>0</v>
      </c>
      <c r="J143" s="478">
        <f t="shared" si="24"/>
        <v>0</v>
      </c>
      <c r="K143" s="478"/>
      <c r="L143" s="487"/>
      <c r="M143" s="478">
        <f t="shared" si="25"/>
        <v>0</v>
      </c>
      <c r="N143" s="487"/>
      <c r="O143" s="478">
        <f t="shared" si="26"/>
        <v>0</v>
      </c>
      <c r="P143" s="478">
        <f t="shared" si="27"/>
        <v>0</v>
      </c>
    </row>
    <row r="144" spans="2:16">
      <c r="B144" s="160" t="str">
        <f t="shared" si="17"/>
        <v/>
      </c>
      <c r="C144" s="472">
        <f>IF(D93="","-",+C143+1)</f>
        <v>2063</v>
      </c>
      <c r="D144" s="347">
        <f>IF(F143+SUM(E$99:E143)=D$92,F143,D$92-SUM(E$99:E143))</f>
        <v>0</v>
      </c>
      <c r="E144" s="484">
        <f t="shared" si="18"/>
        <v>0</v>
      </c>
      <c r="F144" s="485">
        <f t="shared" si="19"/>
        <v>0</v>
      </c>
      <c r="G144" s="485">
        <f t="shared" si="20"/>
        <v>0</v>
      </c>
      <c r="H144" s="486">
        <f t="shared" si="21"/>
        <v>0</v>
      </c>
      <c r="I144" s="542">
        <f t="shared" si="22"/>
        <v>0</v>
      </c>
      <c r="J144" s="478">
        <f t="shared" si="24"/>
        <v>0</v>
      </c>
      <c r="K144" s="478"/>
      <c r="L144" s="487"/>
      <c r="M144" s="478">
        <f t="shared" si="25"/>
        <v>0</v>
      </c>
      <c r="N144" s="487"/>
      <c r="O144" s="478">
        <f t="shared" si="26"/>
        <v>0</v>
      </c>
      <c r="P144" s="478">
        <f t="shared" si="27"/>
        <v>0</v>
      </c>
    </row>
    <row r="145" spans="2:16">
      <c r="B145" s="160" t="str">
        <f t="shared" si="17"/>
        <v/>
      </c>
      <c r="C145" s="472">
        <f>IF(D93="","-",+C144+1)</f>
        <v>2064</v>
      </c>
      <c r="D145" s="347">
        <f>IF(F144+SUM(E$99:E144)=D$92,F144,D$92-SUM(E$99:E144))</f>
        <v>0</v>
      </c>
      <c r="E145" s="484">
        <f t="shared" si="18"/>
        <v>0</v>
      </c>
      <c r="F145" s="485">
        <f t="shared" si="19"/>
        <v>0</v>
      </c>
      <c r="G145" s="485">
        <f t="shared" si="20"/>
        <v>0</v>
      </c>
      <c r="H145" s="486">
        <f t="shared" si="21"/>
        <v>0</v>
      </c>
      <c r="I145" s="542">
        <f t="shared" si="22"/>
        <v>0</v>
      </c>
      <c r="J145" s="478">
        <f t="shared" si="24"/>
        <v>0</v>
      </c>
      <c r="K145" s="478"/>
      <c r="L145" s="487"/>
      <c r="M145" s="478">
        <f t="shared" si="25"/>
        <v>0</v>
      </c>
      <c r="N145" s="487"/>
      <c r="O145" s="478">
        <f t="shared" si="26"/>
        <v>0</v>
      </c>
      <c r="P145" s="478">
        <f t="shared" si="27"/>
        <v>0</v>
      </c>
    </row>
    <row r="146" spans="2:16">
      <c r="B146" s="160" t="str">
        <f t="shared" si="17"/>
        <v/>
      </c>
      <c r="C146" s="472">
        <f>IF(D93="","-",+C145+1)</f>
        <v>2065</v>
      </c>
      <c r="D146" s="347">
        <f>IF(F145+SUM(E$99:E145)=D$92,F145,D$92-SUM(E$99:E145))</f>
        <v>0</v>
      </c>
      <c r="E146" s="484">
        <f t="shared" si="18"/>
        <v>0</v>
      </c>
      <c r="F146" s="485">
        <f t="shared" si="19"/>
        <v>0</v>
      </c>
      <c r="G146" s="485">
        <f t="shared" si="20"/>
        <v>0</v>
      </c>
      <c r="H146" s="486">
        <f t="shared" si="21"/>
        <v>0</v>
      </c>
      <c r="I146" s="542">
        <f t="shared" si="22"/>
        <v>0</v>
      </c>
      <c r="J146" s="478">
        <f t="shared" si="24"/>
        <v>0</v>
      </c>
      <c r="K146" s="478"/>
      <c r="L146" s="487"/>
      <c r="M146" s="478">
        <f t="shared" si="25"/>
        <v>0</v>
      </c>
      <c r="N146" s="487"/>
      <c r="O146" s="478">
        <f t="shared" si="26"/>
        <v>0</v>
      </c>
      <c r="P146" s="478">
        <f t="shared" si="27"/>
        <v>0</v>
      </c>
    </row>
    <row r="147" spans="2:16">
      <c r="B147" s="160" t="str">
        <f t="shared" si="17"/>
        <v/>
      </c>
      <c r="C147" s="472">
        <f>IF(D93="","-",+C146+1)</f>
        <v>2066</v>
      </c>
      <c r="D147" s="347">
        <f>IF(F146+SUM(E$99:E146)=D$92,F146,D$92-SUM(E$99:E146))</f>
        <v>0</v>
      </c>
      <c r="E147" s="484">
        <f t="shared" si="18"/>
        <v>0</v>
      </c>
      <c r="F147" s="485">
        <f t="shared" si="19"/>
        <v>0</v>
      </c>
      <c r="G147" s="485">
        <f t="shared" si="20"/>
        <v>0</v>
      </c>
      <c r="H147" s="486">
        <f t="shared" si="21"/>
        <v>0</v>
      </c>
      <c r="I147" s="542">
        <f t="shared" si="22"/>
        <v>0</v>
      </c>
      <c r="J147" s="478">
        <f t="shared" si="24"/>
        <v>0</v>
      </c>
      <c r="K147" s="478"/>
      <c r="L147" s="487"/>
      <c r="M147" s="478">
        <f t="shared" si="25"/>
        <v>0</v>
      </c>
      <c r="N147" s="487"/>
      <c r="O147" s="478">
        <f t="shared" si="26"/>
        <v>0</v>
      </c>
      <c r="P147" s="478">
        <f t="shared" si="27"/>
        <v>0</v>
      </c>
    </row>
    <row r="148" spans="2:16">
      <c r="B148" s="160" t="str">
        <f t="shared" si="17"/>
        <v/>
      </c>
      <c r="C148" s="472">
        <f>IF(D93="","-",+C147+1)</f>
        <v>2067</v>
      </c>
      <c r="D148" s="347">
        <f>IF(F147+SUM(E$99:E147)=D$92,F147,D$92-SUM(E$99:E147))</f>
        <v>0</v>
      </c>
      <c r="E148" s="484">
        <f t="shared" si="18"/>
        <v>0</v>
      </c>
      <c r="F148" s="485">
        <f t="shared" si="19"/>
        <v>0</v>
      </c>
      <c r="G148" s="485">
        <f t="shared" si="20"/>
        <v>0</v>
      </c>
      <c r="H148" s="486">
        <f t="shared" si="21"/>
        <v>0</v>
      </c>
      <c r="I148" s="542">
        <f t="shared" si="22"/>
        <v>0</v>
      </c>
      <c r="J148" s="478">
        <f t="shared" si="24"/>
        <v>0</v>
      </c>
      <c r="K148" s="478"/>
      <c r="L148" s="487"/>
      <c r="M148" s="478">
        <f t="shared" si="25"/>
        <v>0</v>
      </c>
      <c r="N148" s="487"/>
      <c r="O148" s="478">
        <f t="shared" si="26"/>
        <v>0</v>
      </c>
      <c r="P148" s="478">
        <f t="shared" si="27"/>
        <v>0</v>
      </c>
    </row>
    <row r="149" spans="2:16">
      <c r="B149" s="160" t="str">
        <f t="shared" si="17"/>
        <v/>
      </c>
      <c r="C149" s="472">
        <f>IF(D93="","-",+C148+1)</f>
        <v>2068</v>
      </c>
      <c r="D149" s="347">
        <f>IF(F148+SUM(E$99:E148)=D$92,F148,D$92-SUM(E$99:E148))</f>
        <v>0</v>
      </c>
      <c r="E149" s="484">
        <f t="shared" si="18"/>
        <v>0</v>
      </c>
      <c r="F149" s="485">
        <f t="shared" si="19"/>
        <v>0</v>
      </c>
      <c r="G149" s="485">
        <f t="shared" si="20"/>
        <v>0</v>
      </c>
      <c r="H149" s="486">
        <f t="shared" si="21"/>
        <v>0</v>
      </c>
      <c r="I149" s="542">
        <f t="shared" si="22"/>
        <v>0</v>
      </c>
      <c r="J149" s="478">
        <f t="shared" si="24"/>
        <v>0</v>
      </c>
      <c r="K149" s="478"/>
      <c r="L149" s="487"/>
      <c r="M149" s="478">
        <f t="shared" si="25"/>
        <v>0</v>
      </c>
      <c r="N149" s="487"/>
      <c r="O149" s="478">
        <f t="shared" si="26"/>
        <v>0</v>
      </c>
      <c r="P149" s="478">
        <f t="shared" si="27"/>
        <v>0</v>
      </c>
    </row>
    <row r="150" spans="2:16">
      <c r="B150" s="160" t="str">
        <f t="shared" si="17"/>
        <v/>
      </c>
      <c r="C150" s="472">
        <f>IF(D93="","-",+C149+1)</f>
        <v>2069</v>
      </c>
      <c r="D150" s="347">
        <f>IF(F149+SUM(E$99:E149)=D$92,F149,D$92-SUM(E$99:E149))</f>
        <v>0</v>
      </c>
      <c r="E150" s="484">
        <f t="shared" si="18"/>
        <v>0</v>
      </c>
      <c r="F150" s="485">
        <f t="shared" si="19"/>
        <v>0</v>
      </c>
      <c r="G150" s="485">
        <f t="shared" si="20"/>
        <v>0</v>
      </c>
      <c r="H150" s="486">
        <f t="shared" si="21"/>
        <v>0</v>
      </c>
      <c r="I150" s="542">
        <f t="shared" si="22"/>
        <v>0</v>
      </c>
      <c r="J150" s="478">
        <f t="shared" si="24"/>
        <v>0</v>
      </c>
      <c r="K150" s="478"/>
      <c r="L150" s="487"/>
      <c r="M150" s="478">
        <f t="shared" si="25"/>
        <v>0</v>
      </c>
      <c r="N150" s="487"/>
      <c r="O150" s="478">
        <f t="shared" si="26"/>
        <v>0</v>
      </c>
      <c r="P150" s="478">
        <f t="shared" si="27"/>
        <v>0</v>
      </c>
    </row>
    <row r="151" spans="2:16">
      <c r="B151" s="160" t="str">
        <f t="shared" si="17"/>
        <v/>
      </c>
      <c r="C151" s="472">
        <f>IF(D93="","-",+C150+1)</f>
        <v>2070</v>
      </c>
      <c r="D151" s="347">
        <f>IF(F150+SUM(E$99:E150)=D$92,F150,D$92-SUM(E$99:E150))</f>
        <v>0</v>
      </c>
      <c r="E151" s="484">
        <f t="shared" si="18"/>
        <v>0</v>
      </c>
      <c r="F151" s="485">
        <f t="shared" si="19"/>
        <v>0</v>
      </c>
      <c r="G151" s="485">
        <f t="shared" si="20"/>
        <v>0</v>
      </c>
      <c r="H151" s="486">
        <f t="shared" si="21"/>
        <v>0</v>
      </c>
      <c r="I151" s="542">
        <f t="shared" si="22"/>
        <v>0</v>
      </c>
      <c r="J151" s="478">
        <f t="shared" si="24"/>
        <v>0</v>
      </c>
      <c r="K151" s="478"/>
      <c r="L151" s="487"/>
      <c r="M151" s="478">
        <f t="shared" si="25"/>
        <v>0</v>
      </c>
      <c r="N151" s="487"/>
      <c r="O151" s="478">
        <f t="shared" si="26"/>
        <v>0</v>
      </c>
      <c r="P151" s="478">
        <f t="shared" si="27"/>
        <v>0</v>
      </c>
    </row>
    <row r="152" spans="2:16">
      <c r="B152" s="160" t="str">
        <f t="shared" si="17"/>
        <v/>
      </c>
      <c r="C152" s="472">
        <f>IF(D93="","-",+C151+1)</f>
        <v>2071</v>
      </c>
      <c r="D152" s="347">
        <f>IF(F151+SUM(E$99:E151)=D$92,F151,D$92-SUM(E$99:E151))</f>
        <v>0</v>
      </c>
      <c r="E152" s="484">
        <f t="shared" si="18"/>
        <v>0</v>
      </c>
      <c r="F152" s="485">
        <f t="shared" si="19"/>
        <v>0</v>
      </c>
      <c r="G152" s="485">
        <f t="shared" si="20"/>
        <v>0</v>
      </c>
      <c r="H152" s="486">
        <f t="shared" si="21"/>
        <v>0</v>
      </c>
      <c r="I152" s="542">
        <f t="shared" si="22"/>
        <v>0</v>
      </c>
      <c r="J152" s="478">
        <f t="shared" si="24"/>
        <v>0</v>
      </c>
      <c r="K152" s="478"/>
      <c r="L152" s="487"/>
      <c r="M152" s="478">
        <f t="shared" si="25"/>
        <v>0</v>
      </c>
      <c r="N152" s="487"/>
      <c r="O152" s="478">
        <f t="shared" si="26"/>
        <v>0</v>
      </c>
      <c r="P152" s="478">
        <f t="shared" si="27"/>
        <v>0</v>
      </c>
    </row>
    <row r="153" spans="2:16">
      <c r="B153" s="160" t="str">
        <f t="shared" si="17"/>
        <v/>
      </c>
      <c r="C153" s="472">
        <f>IF(D93="","-",+C152+1)</f>
        <v>2072</v>
      </c>
      <c r="D153" s="347">
        <f>IF(F152+SUM(E$99:E152)=D$92,F152,D$92-SUM(E$99:E152))</f>
        <v>0</v>
      </c>
      <c r="E153" s="484">
        <f t="shared" si="18"/>
        <v>0</v>
      </c>
      <c r="F153" s="485">
        <f t="shared" si="19"/>
        <v>0</v>
      </c>
      <c r="G153" s="485">
        <f t="shared" si="20"/>
        <v>0</v>
      </c>
      <c r="H153" s="486">
        <f t="shared" si="21"/>
        <v>0</v>
      </c>
      <c r="I153" s="542">
        <f t="shared" si="22"/>
        <v>0</v>
      </c>
      <c r="J153" s="478">
        <f t="shared" si="24"/>
        <v>0</v>
      </c>
      <c r="K153" s="478"/>
      <c r="L153" s="487"/>
      <c r="M153" s="478">
        <f t="shared" si="25"/>
        <v>0</v>
      </c>
      <c r="N153" s="487"/>
      <c r="O153" s="478">
        <f t="shared" si="26"/>
        <v>0</v>
      </c>
      <c r="P153" s="478">
        <f t="shared" si="27"/>
        <v>0</v>
      </c>
    </row>
    <row r="154" spans="2:16" ht="13.5" thickBot="1">
      <c r="B154" s="160" t="str">
        <f t="shared" si="17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18"/>
        <v>0</v>
      </c>
      <c r="F154" s="490">
        <f t="shared" si="19"/>
        <v>0</v>
      </c>
      <c r="G154" s="490">
        <f t="shared" si="20"/>
        <v>0</v>
      </c>
      <c r="H154" s="613">
        <f t="shared" ref="H154" si="28">+J$94*G154+E154</f>
        <v>0</v>
      </c>
      <c r="I154" s="614">
        <f t="shared" ref="I154" si="29">+J$95*G154+E154</f>
        <v>0</v>
      </c>
      <c r="J154" s="495">
        <f t="shared" si="24"/>
        <v>0</v>
      </c>
      <c r="K154" s="478"/>
      <c r="L154" s="494"/>
      <c r="M154" s="495">
        <f t="shared" si="25"/>
        <v>0</v>
      </c>
      <c r="N154" s="494"/>
      <c r="O154" s="495">
        <f t="shared" si="26"/>
        <v>0</v>
      </c>
      <c r="P154" s="495">
        <f t="shared" si="27"/>
        <v>0</v>
      </c>
    </row>
    <row r="155" spans="2:16">
      <c r="C155" s="347" t="s">
        <v>77</v>
      </c>
      <c r="D155" s="348"/>
      <c r="E155" s="348">
        <f>SUM(E99:E154)</f>
        <v>1165593</v>
      </c>
      <c r="F155" s="348"/>
      <c r="G155" s="348"/>
      <c r="H155" s="348">
        <f>SUM(H99:H154)</f>
        <v>3875001.0930760545</v>
      </c>
      <c r="I155" s="348">
        <f>SUM(I99:I154)</f>
        <v>3875001.0930760545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15" priority="1" stopIfTrue="1" operator="equal">
      <formula>$I$10</formula>
    </cfRule>
  </conditionalFormatting>
  <conditionalFormatting sqref="C99:C154">
    <cfRule type="cellIs" dxfId="14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62"/>
  <sheetViews>
    <sheetView zoomScale="80" zoomScaleNormal="80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24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166475.36158990141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166475.36158990141</v>
      </c>
      <c r="O6" s="233"/>
      <c r="P6" s="233"/>
    </row>
    <row r="7" spans="1:16" ht="13.5" thickBot="1">
      <c r="C7" s="431" t="s">
        <v>46</v>
      </c>
      <c r="D7" s="599" t="s">
        <v>307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308</v>
      </c>
      <c r="E9" s="577" t="s">
        <v>309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1345383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31287.976744186046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2018</v>
      </c>
      <c r="D17" s="584">
        <v>0</v>
      </c>
      <c r="E17" s="608">
        <v>13511.111111111109</v>
      </c>
      <c r="F17" s="584">
        <v>1202488.888888889</v>
      </c>
      <c r="G17" s="608">
        <v>94880.774589956171</v>
      </c>
      <c r="H17" s="587">
        <v>94880.774589956171</v>
      </c>
      <c r="I17" s="475">
        <f>H17-G17</f>
        <v>0</v>
      </c>
      <c r="J17" s="475"/>
      <c r="K17" s="554">
        <f>+G17</f>
        <v>94880.774589956171</v>
      </c>
      <c r="L17" s="477">
        <f t="shared" ref="L17:L72" si="0">IF(K17&lt;&gt;0,+G17-K17,0)</f>
        <v>0</v>
      </c>
      <c r="M17" s="554">
        <f>+H17</f>
        <v>94880.774589956171</v>
      </c>
      <c r="N17" s="477">
        <f t="shared" ref="N17:N72" si="1">IF(M17&lt;&gt;0,+H17-M17,0)</f>
        <v>0</v>
      </c>
      <c r="O17" s="478">
        <f t="shared" ref="O17:O72" si="2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2019</v>
      </c>
      <c r="D18" s="584">
        <v>1202488.888888889</v>
      </c>
      <c r="E18" s="585">
        <v>27022.222222222223</v>
      </c>
      <c r="F18" s="584">
        <v>1175466.6666666667</v>
      </c>
      <c r="G18" s="585">
        <v>187933.0174163428</v>
      </c>
      <c r="H18" s="587">
        <v>187933.0174163428</v>
      </c>
      <c r="I18" s="475">
        <f>H18-G18</f>
        <v>0</v>
      </c>
      <c r="J18" s="475"/>
      <c r="K18" s="478">
        <f>+G18</f>
        <v>187933.0174163428</v>
      </c>
      <c r="L18" s="478">
        <f t="shared" si="0"/>
        <v>0</v>
      </c>
      <c r="M18" s="478">
        <f>+H18</f>
        <v>187933.0174163428</v>
      </c>
      <c r="N18" s="478">
        <f t="shared" si="1"/>
        <v>0</v>
      </c>
      <c r="O18" s="478">
        <f t="shared" si="2"/>
        <v>0</v>
      </c>
      <c r="P18" s="243"/>
    </row>
    <row r="19" spans="2:16">
      <c r="B19" s="160" t="str">
        <f>IF(D19=F18,"","IU")</f>
        <v>IU</v>
      </c>
      <c r="C19" s="472">
        <f>IF(D11="","-",+C18+1)</f>
        <v>2020</v>
      </c>
      <c r="D19" s="584">
        <v>1304405.6666666667</v>
      </c>
      <c r="E19" s="585">
        <v>32022.357142857141</v>
      </c>
      <c r="F19" s="584">
        <v>1272383.3095238097</v>
      </c>
      <c r="G19" s="585">
        <v>171175.11640159666</v>
      </c>
      <c r="H19" s="587">
        <v>171175.11640159666</v>
      </c>
      <c r="I19" s="475">
        <f t="shared" ref="I19:I71" si="3">H19-G19</f>
        <v>0</v>
      </c>
      <c r="J19" s="475"/>
      <c r="K19" s="478">
        <f>+G19</f>
        <v>171175.11640159666</v>
      </c>
      <c r="L19" s="478">
        <f t="shared" ref="L19" si="4">IF(K19&lt;&gt;0,+G19-K19,0)</f>
        <v>0</v>
      </c>
      <c r="M19" s="478">
        <f>+H19</f>
        <v>171175.11640159666</v>
      </c>
      <c r="N19" s="478">
        <f t="shared" si="1"/>
        <v>0</v>
      </c>
      <c r="O19" s="478">
        <f t="shared" si="2"/>
        <v>0</v>
      </c>
      <c r="P19" s="243"/>
    </row>
    <row r="20" spans="2:16">
      <c r="B20" s="160" t="str">
        <f t="shared" ref="B20:B72" si="5">IF(D20=F19,"","IU")</f>
        <v>IU</v>
      </c>
      <c r="C20" s="472">
        <f>IF(D11="","-",+C19+1)</f>
        <v>2021</v>
      </c>
      <c r="D20" s="584">
        <v>1269449.5317460317</v>
      </c>
      <c r="E20" s="585">
        <v>31287.976744186046</v>
      </c>
      <c r="F20" s="584">
        <v>1238161.5550018456</v>
      </c>
      <c r="G20" s="585">
        <v>166475.36158990141</v>
      </c>
      <c r="H20" s="587">
        <v>166475.36158990141</v>
      </c>
      <c r="I20" s="475">
        <f t="shared" si="3"/>
        <v>0</v>
      </c>
      <c r="J20" s="475"/>
      <c r="K20" s="478">
        <f>+G20</f>
        <v>166475.36158990141</v>
      </c>
      <c r="L20" s="478">
        <f t="shared" ref="L20" si="6">IF(K20&lt;&gt;0,+G20-K20,0)</f>
        <v>0</v>
      </c>
      <c r="M20" s="478">
        <f>+H20</f>
        <v>166475.36158990141</v>
      </c>
      <c r="N20" s="478">
        <f t="shared" si="1"/>
        <v>0</v>
      </c>
      <c r="O20" s="478">
        <f t="shared" si="2"/>
        <v>0</v>
      </c>
      <c r="P20" s="243"/>
    </row>
    <row r="21" spans="2:16">
      <c r="B21" s="160" t="str">
        <f t="shared" si="5"/>
        <v>IU</v>
      </c>
      <c r="C21" s="472">
        <f>IF(D11="","-",+C20+1)</f>
        <v>2022</v>
      </c>
      <c r="D21" s="483">
        <f>IF(F20+SUM(E$17:E20)=D$10,F20,D$10-SUM(E$17:E20))</f>
        <v>1241539.3327796236</v>
      </c>
      <c r="E21" s="484">
        <f t="shared" ref="E21:E71" si="7">IF(+I$14&lt;F20,I$14,D21)</f>
        <v>31287.976744186046</v>
      </c>
      <c r="F21" s="485">
        <f t="shared" ref="F21:F71" si="8">+D21-E21</f>
        <v>1210251.3560354374</v>
      </c>
      <c r="G21" s="486">
        <f t="shared" ref="G21:G71" si="9">(D21+F21)/2*I$12+E21</f>
        <v>172335.00248011225</v>
      </c>
      <c r="H21" s="455">
        <f t="shared" ref="H21:H71" si="10">+(D21+F21)/2*I$13+E21</f>
        <v>172335.00248011225</v>
      </c>
      <c r="I21" s="475">
        <f t="shared" si="3"/>
        <v>0</v>
      </c>
      <c r="J21" s="475"/>
      <c r="K21" s="487"/>
      <c r="L21" s="478">
        <f t="shared" si="0"/>
        <v>0</v>
      </c>
      <c r="M21" s="487"/>
      <c r="N21" s="478">
        <f t="shared" si="1"/>
        <v>0</v>
      </c>
      <c r="O21" s="478">
        <f t="shared" si="2"/>
        <v>0</v>
      </c>
      <c r="P21" s="243"/>
    </row>
    <row r="22" spans="2:16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1210251.3560354374</v>
      </c>
      <c r="E22" s="484">
        <f t="shared" si="7"/>
        <v>31287.976744186046</v>
      </c>
      <c r="F22" s="485">
        <f t="shared" si="8"/>
        <v>1178963.3792912513</v>
      </c>
      <c r="G22" s="486">
        <f t="shared" si="9"/>
        <v>168735.12253832561</v>
      </c>
      <c r="H22" s="455">
        <f t="shared" si="10"/>
        <v>168735.12253832561</v>
      </c>
      <c r="I22" s="475">
        <f t="shared" si="3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3"/>
    </row>
    <row r="23" spans="2:16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1178963.3792912513</v>
      </c>
      <c r="E23" s="484">
        <f t="shared" si="7"/>
        <v>31287.976744186046</v>
      </c>
      <c r="F23" s="485">
        <f t="shared" si="8"/>
        <v>1147675.4025470652</v>
      </c>
      <c r="G23" s="486">
        <f t="shared" si="9"/>
        <v>165135.242596539</v>
      </c>
      <c r="H23" s="455">
        <f t="shared" si="10"/>
        <v>165135.242596539</v>
      </c>
      <c r="I23" s="475">
        <f t="shared" si="3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3"/>
    </row>
    <row r="24" spans="2:16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1147675.4025470652</v>
      </c>
      <c r="E24" s="484">
        <f t="shared" si="7"/>
        <v>31287.976744186046</v>
      </c>
      <c r="F24" s="485">
        <f t="shared" si="8"/>
        <v>1116387.425802879</v>
      </c>
      <c r="G24" s="486">
        <f t="shared" si="9"/>
        <v>161535.36265475236</v>
      </c>
      <c r="H24" s="455">
        <f t="shared" si="10"/>
        <v>161535.36265475236</v>
      </c>
      <c r="I24" s="475">
        <f t="shared" si="3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3"/>
    </row>
    <row r="25" spans="2:16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1116387.425802879</v>
      </c>
      <c r="E25" s="484">
        <f t="shared" si="7"/>
        <v>31287.976744186046</v>
      </c>
      <c r="F25" s="485">
        <f t="shared" si="8"/>
        <v>1085099.4490586929</v>
      </c>
      <c r="G25" s="486">
        <f t="shared" si="9"/>
        <v>157935.48271296575</v>
      </c>
      <c r="H25" s="455">
        <f t="shared" si="10"/>
        <v>157935.48271296575</v>
      </c>
      <c r="I25" s="475">
        <f t="shared" si="3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3"/>
    </row>
    <row r="26" spans="2:16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1085099.4490586929</v>
      </c>
      <c r="E26" s="484">
        <f t="shared" si="7"/>
        <v>31287.976744186046</v>
      </c>
      <c r="F26" s="485">
        <f t="shared" si="8"/>
        <v>1053811.4723145068</v>
      </c>
      <c r="G26" s="486">
        <f t="shared" si="9"/>
        <v>154335.60277117911</v>
      </c>
      <c r="H26" s="455">
        <f t="shared" si="10"/>
        <v>154335.60277117911</v>
      </c>
      <c r="I26" s="475">
        <f t="shared" si="3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3"/>
    </row>
    <row r="27" spans="2:16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1053811.4723145068</v>
      </c>
      <c r="E27" s="484">
        <f t="shared" si="7"/>
        <v>31287.976744186046</v>
      </c>
      <c r="F27" s="485">
        <f t="shared" si="8"/>
        <v>1022523.4955703208</v>
      </c>
      <c r="G27" s="486">
        <f t="shared" si="9"/>
        <v>150735.72282939247</v>
      </c>
      <c r="H27" s="455">
        <f t="shared" si="10"/>
        <v>150735.72282939247</v>
      </c>
      <c r="I27" s="475">
        <f t="shared" si="3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3"/>
    </row>
    <row r="28" spans="2:16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1022523.4955703208</v>
      </c>
      <c r="E28" s="484">
        <f t="shared" si="7"/>
        <v>31287.976744186046</v>
      </c>
      <c r="F28" s="485">
        <f t="shared" si="8"/>
        <v>991235.51882613474</v>
      </c>
      <c r="G28" s="486">
        <f t="shared" si="9"/>
        <v>147135.84288760589</v>
      </c>
      <c r="H28" s="455">
        <f t="shared" si="10"/>
        <v>147135.84288760589</v>
      </c>
      <c r="I28" s="475">
        <f t="shared" si="3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3"/>
    </row>
    <row r="29" spans="2:16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991235.51882613474</v>
      </c>
      <c r="E29" s="484">
        <f t="shared" si="7"/>
        <v>31287.976744186046</v>
      </c>
      <c r="F29" s="485">
        <f t="shared" si="8"/>
        <v>959947.54208194872</v>
      </c>
      <c r="G29" s="486">
        <f t="shared" si="9"/>
        <v>143535.96294581925</v>
      </c>
      <c r="H29" s="455">
        <f t="shared" si="10"/>
        <v>143535.96294581925</v>
      </c>
      <c r="I29" s="475">
        <f t="shared" si="3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3"/>
    </row>
    <row r="30" spans="2:16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959947.54208194872</v>
      </c>
      <c r="E30" s="484">
        <f t="shared" si="7"/>
        <v>31287.976744186046</v>
      </c>
      <c r="F30" s="485">
        <f t="shared" si="8"/>
        <v>928659.5653377627</v>
      </c>
      <c r="G30" s="486">
        <f t="shared" si="9"/>
        <v>139936.08300403264</v>
      </c>
      <c r="H30" s="455">
        <f t="shared" si="10"/>
        <v>139936.08300403264</v>
      </c>
      <c r="I30" s="475">
        <f t="shared" si="3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3"/>
    </row>
    <row r="31" spans="2:16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928659.5653377627</v>
      </c>
      <c r="E31" s="484">
        <f t="shared" si="7"/>
        <v>31287.976744186046</v>
      </c>
      <c r="F31" s="485">
        <f t="shared" si="8"/>
        <v>897371.58859357669</v>
      </c>
      <c r="G31" s="486">
        <f t="shared" si="9"/>
        <v>136336.203062246</v>
      </c>
      <c r="H31" s="455">
        <f t="shared" si="10"/>
        <v>136336.203062246</v>
      </c>
      <c r="I31" s="475">
        <f t="shared" si="3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3"/>
    </row>
    <row r="32" spans="2:16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897371.58859357669</v>
      </c>
      <c r="E32" s="484">
        <f t="shared" si="7"/>
        <v>31287.976744186046</v>
      </c>
      <c r="F32" s="485">
        <f t="shared" si="8"/>
        <v>866083.61184939067</v>
      </c>
      <c r="G32" s="486">
        <f t="shared" si="9"/>
        <v>132736.32312045939</v>
      </c>
      <c r="H32" s="455">
        <f t="shared" si="10"/>
        <v>132736.32312045939</v>
      </c>
      <c r="I32" s="475">
        <f t="shared" si="3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3"/>
    </row>
    <row r="33" spans="2:16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866083.61184939067</v>
      </c>
      <c r="E33" s="484">
        <f t="shared" si="7"/>
        <v>31287.976744186046</v>
      </c>
      <c r="F33" s="485">
        <f t="shared" si="8"/>
        <v>834795.63510520465</v>
      </c>
      <c r="G33" s="486">
        <f t="shared" si="9"/>
        <v>129136.44317867277</v>
      </c>
      <c r="H33" s="455">
        <f t="shared" si="10"/>
        <v>129136.44317867277</v>
      </c>
      <c r="I33" s="475">
        <f t="shared" si="3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3"/>
    </row>
    <row r="34" spans="2:16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834795.63510520465</v>
      </c>
      <c r="E34" s="484">
        <f t="shared" si="7"/>
        <v>31287.976744186046</v>
      </c>
      <c r="F34" s="485">
        <f t="shared" si="8"/>
        <v>803507.65836101864</v>
      </c>
      <c r="G34" s="486">
        <f t="shared" si="9"/>
        <v>125536.56323688617</v>
      </c>
      <c r="H34" s="455">
        <f t="shared" si="10"/>
        <v>125536.56323688617</v>
      </c>
      <c r="I34" s="475">
        <f t="shared" si="3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3"/>
    </row>
    <row r="35" spans="2:16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803507.65836101864</v>
      </c>
      <c r="E35" s="484">
        <f t="shared" si="7"/>
        <v>31287.976744186046</v>
      </c>
      <c r="F35" s="485">
        <f t="shared" si="8"/>
        <v>772219.68161683262</v>
      </c>
      <c r="G35" s="486">
        <f t="shared" si="9"/>
        <v>121936.68329509953</v>
      </c>
      <c r="H35" s="455">
        <f t="shared" si="10"/>
        <v>121936.68329509953</v>
      </c>
      <c r="I35" s="475">
        <f t="shared" si="3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3"/>
    </row>
    <row r="36" spans="2:16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772219.68161683262</v>
      </c>
      <c r="E36" s="484">
        <f t="shared" si="7"/>
        <v>31287.976744186046</v>
      </c>
      <c r="F36" s="485">
        <f t="shared" si="8"/>
        <v>740931.7048726466</v>
      </c>
      <c r="G36" s="486">
        <f t="shared" si="9"/>
        <v>118336.80335331293</v>
      </c>
      <c r="H36" s="455">
        <f t="shared" si="10"/>
        <v>118336.80335331293</v>
      </c>
      <c r="I36" s="475">
        <f t="shared" si="3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3"/>
    </row>
    <row r="37" spans="2:16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740931.7048726466</v>
      </c>
      <c r="E37" s="484">
        <f t="shared" si="7"/>
        <v>31287.976744186046</v>
      </c>
      <c r="F37" s="485">
        <f t="shared" si="8"/>
        <v>709643.72812846059</v>
      </c>
      <c r="G37" s="486">
        <f t="shared" si="9"/>
        <v>114736.9234115263</v>
      </c>
      <c r="H37" s="455">
        <f t="shared" si="10"/>
        <v>114736.9234115263</v>
      </c>
      <c r="I37" s="475">
        <f t="shared" si="3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3"/>
    </row>
    <row r="38" spans="2:16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709643.72812846059</v>
      </c>
      <c r="E38" s="484">
        <f t="shared" si="7"/>
        <v>31287.976744186046</v>
      </c>
      <c r="F38" s="485">
        <f t="shared" si="8"/>
        <v>678355.75138427457</v>
      </c>
      <c r="G38" s="486">
        <f t="shared" si="9"/>
        <v>111137.0434697397</v>
      </c>
      <c r="H38" s="455">
        <f t="shared" si="10"/>
        <v>111137.0434697397</v>
      </c>
      <c r="I38" s="475">
        <f t="shared" si="3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3"/>
    </row>
    <row r="39" spans="2:16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678355.75138427457</v>
      </c>
      <c r="E39" s="484">
        <f t="shared" si="7"/>
        <v>31287.976744186046</v>
      </c>
      <c r="F39" s="485">
        <f t="shared" si="8"/>
        <v>647067.77464008855</v>
      </c>
      <c r="G39" s="486">
        <f t="shared" si="9"/>
        <v>107537.16352795306</v>
      </c>
      <c r="H39" s="455">
        <f t="shared" si="10"/>
        <v>107537.16352795306</v>
      </c>
      <c r="I39" s="475">
        <f t="shared" si="3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3"/>
    </row>
    <row r="40" spans="2:16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647067.77464008855</v>
      </c>
      <c r="E40" s="484">
        <f t="shared" si="7"/>
        <v>31287.976744186046</v>
      </c>
      <c r="F40" s="485">
        <f t="shared" si="8"/>
        <v>615779.79789590253</v>
      </c>
      <c r="G40" s="486">
        <f t="shared" si="9"/>
        <v>103937.28358616646</v>
      </c>
      <c r="H40" s="455">
        <f t="shared" si="10"/>
        <v>103937.28358616646</v>
      </c>
      <c r="I40" s="475">
        <f t="shared" si="3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3"/>
    </row>
    <row r="41" spans="2:16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615779.79789590253</v>
      </c>
      <c r="E41" s="484">
        <f t="shared" si="7"/>
        <v>31287.976744186046</v>
      </c>
      <c r="F41" s="485">
        <f t="shared" si="8"/>
        <v>584491.82115171652</v>
      </c>
      <c r="G41" s="486">
        <f t="shared" si="9"/>
        <v>100337.40364437984</v>
      </c>
      <c r="H41" s="455">
        <f t="shared" si="10"/>
        <v>100337.40364437984</v>
      </c>
      <c r="I41" s="475">
        <f t="shared" si="3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3"/>
    </row>
    <row r="42" spans="2:16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584491.82115171652</v>
      </c>
      <c r="E42" s="484">
        <f t="shared" si="7"/>
        <v>31287.976744186046</v>
      </c>
      <c r="F42" s="485">
        <f t="shared" si="8"/>
        <v>553203.8444075305</v>
      </c>
      <c r="G42" s="486">
        <f t="shared" si="9"/>
        <v>96737.523702593229</v>
      </c>
      <c r="H42" s="455">
        <f t="shared" si="10"/>
        <v>96737.523702593229</v>
      </c>
      <c r="I42" s="475">
        <f t="shared" si="3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3"/>
    </row>
    <row r="43" spans="2:16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553203.8444075305</v>
      </c>
      <c r="E43" s="484">
        <f t="shared" si="7"/>
        <v>31287.976744186046</v>
      </c>
      <c r="F43" s="485">
        <f t="shared" si="8"/>
        <v>521915.86766334448</v>
      </c>
      <c r="G43" s="486">
        <f t="shared" si="9"/>
        <v>93137.64376080659</v>
      </c>
      <c r="H43" s="455">
        <f t="shared" si="10"/>
        <v>93137.64376080659</v>
      </c>
      <c r="I43" s="475">
        <f t="shared" si="3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3"/>
    </row>
    <row r="44" spans="2:16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521915.86766334448</v>
      </c>
      <c r="E44" s="484">
        <f t="shared" si="7"/>
        <v>31287.976744186046</v>
      </c>
      <c r="F44" s="485">
        <f t="shared" si="8"/>
        <v>490627.89091915847</v>
      </c>
      <c r="G44" s="486">
        <f t="shared" si="9"/>
        <v>89537.76381901998</v>
      </c>
      <c r="H44" s="455">
        <f t="shared" si="10"/>
        <v>89537.76381901998</v>
      </c>
      <c r="I44" s="475">
        <f t="shared" si="3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3"/>
    </row>
    <row r="45" spans="2:16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490627.89091915847</v>
      </c>
      <c r="E45" s="484">
        <f t="shared" si="7"/>
        <v>31287.976744186046</v>
      </c>
      <c r="F45" s="485">
        <f t="shared" si="8"/>
        <v>459339.91417497245</v>
      </c>
      <c r="G45" s="486">
        <f t="shared" si="9"/>
        <v>85937.883877233369</v>
      </c>
      <c r="H45" s="455">
        <f t="shared" si="10"/>
        <v>85937.883877233369</v>
      </c>
      <c r="I45" s="475">
        <f t="shared" si="3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3"/>
    </row>
    <row r="46" spans="2:16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459339.91417497245</v>
      </c>
      <c r="E46" s="484">
        <f t="shared" si="7"/>
        <v>31287.976744186046</v>
      </c>
      <c r="F46" s="485">
        <f t="shared" si="8"/>
        <v>428051.93743078643</v>
      </c>
      <c r="G46" s="486">
        <f t="shared" si="9"/>
        <v>82338.003935446759</v>
      </c>
      <c r="H46" s="455">
        <f t="shared" si="10"/>
        <v>82338.003935446759</v>
      </c>
      <c r="I46" s="475">
        <f t="shared" si="3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3"/>
    </row>
    <row r="47" spans="2:16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428051.93743078643</v>
      </c>
      <c r="E47" s="484">
        <f t="shared" si="7"/>
        <v>31287.976744186046</v>
      </c>
      <c r="F47" s="485">
        <f t="shared" si="8"/>
        <v>396763.96068660042</v>
      </c>
      <c r="G47" s="486">
        <f t="shared" si="9"/>
        <v>78738.123993660134</v>
      </c>
      <c r="H47" s="455">
        <f t="shared" si="10"/>
        <v>78738.123993660134</v>
      </c>
      <c r="I47" s="475">
        <f t="shared" si="3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3"/>
    </row>
    <row r="48" spans="2:16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396763.96068660042</v>
      </c>
      <c r="E48" s="484">
        <f t="shared" si="7"/>
        <v>31287.976744186046</v>
      </c>
      <c r="F48" s="485">
        <f t="shared" si="8"/>
        <v>365475.9839424144</v>
      </c>
      <c r="G48" s="486">
        <f t="shared" si="9"/>
        <v>75138.244051873509</v>
      </c>
      <c r="H48" s="455">
        <f t="shared" si="10"/>
        <v>75138.244051873509</v>
      </c>
      <c r="I48" s="475">
        <f t="shared" si="3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3"/>
    </row>
    <row r="49" spans="2:16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365475.9839424144</v>
      </c>
      <c r="E49" s="484">
        <f t="shared" si="7"/>
        <v>31287.976744186046</v>
      </c>
      <c r="F49" s="485">
        <f t="shared" si="8"/>
        <v>334188.00719822838</v>
      </c>
      <c r="G49" s="486">
        <f t="shared" si="9"/>
        <v>71538.364110086899</v>
      </c>
      <c r="H49" s="455">
        <f t="shared" si="10"/>
        <v>71538.364110086899</v>
      </c>
      <c r="I49" s="475">
        <f t="shared" si="3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3"/>
    </row>
    <row r="50" spans="2:16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334188.00719822838</v>
      </c>
      <c r="E50" s="484">
        <f t="shared" si="7"/>
        <v>31287.976744186046</v>
      </c>
      <c r="F50" s="485">
        <f t="shared" si="8"/>
        <v>302900.03045404237</v>
      </c>
      <c r="G50" s="486">
        <f t="shared" si="9"/>
        <v>67938.484168300289</v>
      </c>
      <c r="H50" s="455">
        <f t="shared" si="10"/>
        <v>67938.484168300289</v>
      </c>
      <c r="I50" s="475">
        <f t="shared" si="3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3"/>
    </row>
    <row r="51" spans="2:16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302900.03045404237</v>
      </c>
      <c r="E51" s="484">
        <f t="shared" si="7"/>
        <v>31287.976744186046</v>
      </c>
      <c r="F51" s="485">
        <f t="shared" si="8"/>
        <v>271612.05370985635</v>
      </c>
      <c r="G51" s="486">
        <f t="shared" si="9"/>
        <v>64338.604226513671</v>
      </c>
      <c r="H51" s="455">
        <f t="shared" si="10"/>
        <v>64338.604226513671</v>
      </c>
      <c r="I51" s="475">
        <f t="shared" si="3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3"/>
    </row>
    <row r="52" spans="2:16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271612.05370985635</v>
      </c>
      <c r="E52" s="484">
        <f t="shared" si="7"/>
        <v>31287.976744186046</v>
      </c>
      <c r="F52" s="485">
        <f t="shared" si="8"/>
        <v>240324.07696567031</v>
      </c>
      <c r="G52" s="486">
        <f t="shared" si="9"/>
        <v>60738.724284727054</v>
      </c>
      <c r="H52" s="455">
        <f t="shared" si="10"/>
        <v>60738.724284727054</v>
      </c>
      <c r="I52" s="475">
        <f t="shared" si="3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3"/>
    </row>
    <row r="53" spans="2:16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240324.07696567031</v>
      </c>
      <c r="E53" s="484">
        <f t="shared" si="7"/>
        <v>31287.976744186046</v>
      </c>
      <c r="F53" s="485">
        <f t="shared" si="8"/>
        <v>209036.10022148426</v>
      </c>
      <c r="G53" s="486">
        <f t="shared" si="9"/>
        <v>57138.844342940429</v>
      </c>
      <c r="H53" s="455">
        <f t="shared" si="10"/>
        <v>57138.844342940429</v>
      </c>
      <c r="I53" s="475">
        <f t="shared" si="3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3"/>
    </row>
    <row r="54" spans="2:16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209036.10022148426</v>
      </c>
      <c r="E54" s="484">
        <f t="shared" si="7"/>
        <v>31287.976744186046</v>
      </c>
      <c r="F54" s="485">
        <f t="shared" si="8"/>
        <v>177748.12347729821</v>
      </c>
      <c r="G54" s="486">
        <f t="shared" si="9"/>
        <v>53538.964401153811</v>
      </c>
      <c r="H54" s="455">
        <f t="shared" si="10"/>
        <v>53538.964401153811</v>
      </c>
      <c r="I54" s="475">
        <f t="shared" si="3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3"/>
    </row>
    <row r="55" spans="2:16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177748.12347729821</v>
      </c>
      <c r="E55" s="484">
        <f t="shared" si="7"/>
        <v>31287.976744186046</v>
      </c>
      <c r="F55" s="485">
        <f t="shared" si="8"/>
        <v>146460.14673311217</v>
      </c>
      <c r="G55" s="486">
        <f t="shared" si="9"/>
        <v>49939.084459367186</v>
      </c>
      <c r="H55" s="455">
        <f t="shared" si="10"/>
        <v>49939.084459367186</v>
      </c>
      <c r="I55" s="475">
        <f t="shared" si="3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3"/>
    </row>
    <row r="56" spans="2:16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146460.14673311217</v>
      </c>
      <c r="E56" s="484">
        <f t="shared" si="7"/>
        <v>31287.976744186046</v>
      </c>
      <c r="F56" s="485">
        <f t="shared" si="8"/>
        <v>115172.16998892612</v>
      </c>
      <c r="G56" s="486">
        <f t="shared" si="9"/>
        <v>46339.204517580569</v>
      </c>
      <c r="H56" s="455">
        <f t="shared" si="10"/>
        <v>46339.204517580569</v>
      </c>
      <c r="I56" s="475">
        <f t="shared" si="3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3"/>
    </row>
    <row r="57" spans="2:16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115172.16998892612</v>
      </c>
      <c r="E57" s="484">
        <f t="shared" si="7"/>
        <v>31287.976744186046</v>
      </c>
      <c r="F57" s="485">
        <f t="shared" si="8"/>
        <v>83884.193244740076</v>
      </c>
      <c r="G57" s="486">
        <f t="shared" si="9"/>
        <v>42739.324575793944</v>
      </c>
      <c r="H57" s="455">
        <f t="shared" si="10"/>
        <v>42739.324575793944</v>
      </c>
      <c r="I57" s="475">
        <f t="shared" si="3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3"/>
    </row>
    <row r="58" spans="2:16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83884.193244740076</v>
      </c>
      <c r="E58" s="484">
        <f t="shared" si="7"/>
        <v>31287.976744186046</v>
      </c>
      <c r="F58" s="485">
        <f t="shared" si="8"/>
        <v>52596.21650055403</v>
      </c>
      <c r="G58" s="486">
        <f t="shared" si="9"/>
        <v>39139.444634007326</v>
      </c>
      <c r="H58" s="455">
        <f t="shared" si="10"/>
        <v>39139.444634007326</v>
      </c>
      <c r="I58" s="475">
        <f t="shared" si="3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3"/>
    </row>
    <row r="59" spans="2:16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52596.21650055403</v>
      </c>
      <c r="E59" s="484">
        <f t="shared" si="7"/>
        <v>31287.976744186046</v>
      </c>
      <c r="F59" s="485">
        <f t="shared" si="8"/>
        <v>21308.239756367984</v>
      </c>
      <c r="G59" s="486">
        <f t="shared" si="9"/>
        <v>35539.564692220709</v>
      </c>
      <c r="H59" s="455">
        <f t="shared" si="10"/>
        <v>35539.564692220709</v>
      </c>
      <c r="I59" s="475">
        <f t="shared" si="3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3"/>
    </row>
    <row r="60" spans="2:16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21308.239756367984</v>
      </c>
      <c r="E60" s="484">
        <f t="shared" si="7"/>
        <v>21308.239756367984</v>
      </c>
      <c r="F60" s="485">
        <f t="shared" si="8"/>
        <v>0</v>
      </c>
      <c r="G60" s="486">
        <f t="shared" si="9"/>
        <v>22534.06374493866</v>
      </c>
      <c r="H60" s="455">
        <f t="shared" si="10"/>
        <v>22534.06374493866</v>
      </c>
      <c r="I60" s="475">
        <f t="shared" si="3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3"/>
    </row>
    <row r="61" spans="2:16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7"/>
        <v>0</v>
      </c>
      <c r="F61" s="485">
        <f t="shared" si="8"/>
        <v>0</v>
      </c>
      <c r="G61" s="486">
        <f t="shared" si="9"/>
        <v>0</v>
      </c>
      <c r="H61" s="455">
        <f t="shared" si="10"/>
        <v>0</v>
      </c>
      <c r="I61" s="475">
        <f t="shared" si="3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3"/>
    </row>
    <row r="62" spans="2:16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7"/>
        <v>0</v>
      </c>
      <c r="F62" s="485">
        <f t="shared" si="8"/>
        <v>0</v>
      </c>
      <c r="G62" s="486">
        <f t="shared" si="9"/>
        <v>0</v>
      </c>
      <c r="H62" s="455">
        <f t="shared" si="10"/>
        <v>0</v>
      </c>
      <c r="I62" s="475">
        <f t="shared" si="3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3"/>
    </row>
    <row r="63" spans="2:16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3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3"/>
    </row>
    <row r="64" spans="2:16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3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3"/>
    </row>
    <row r="65" spans="2:16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3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3"/>
    </row>
    <row r="66" spans="2:16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3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3"/>
    </row>
    <row r="67" spans="2:16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3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3"/>
    </row>
    <row r="68" spans="2:16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3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3"/>
    </row>
    <row r="69" spans="2:16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3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3"/>
    </row>
    <row r="70" spans="2:16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3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3"/>
    </row>
    <row r="71" spans="2:16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3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3"/>
    </row>
    <row r="73" spans="2:16">
      <c r="C73" s="347" t="s">
        <v>77</v>
      </c>
      <c r="D73" s="348"/>
      <c r="E73" s="348">
        <f>SUM(E17:E72)</f>
        <v>1345383.0000000005</v>
      </c>
      <c r="F73" s="348"/>
      <c r="G73" s="348">
        <f>SUM(G17:G72)</f>
        <v>4696552.393603228</v>
      </c>
      <c r="H73" s="348">
        <f>SUM(H17:H72)</f>
        <v>4696552.393603228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24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166475.36158990141</v>
      </c>
      <c r="N87" s="508">
        <f>IF(J92&lt;D11,0,VLOOKUP(J92,C17:O72,11))</f>
        <v>166475.36158990141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175007.65348742867</v>
      </c>
      <c r="N88" s="512">
        <f>IF(J92&lt;D11,0,VLOOKUP(J92,C99:P154,7))</f>
        <v>175007.65348742867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Duncan-Comanche Tap 69 KV Rebuild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8532.2918975272623</v>
      </c>
      <c r="N89" s="517">
        <f>+N88-N87</f>
        <v>8532.2918975272623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TP2015191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1345383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5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32814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2018</v>
      </c>
      <c r="D99" s="584">
        <v>0</v>
      </c>
      <c r="E99" s="608">
        <v>15290</v>
      </c>
      <c r="F99" s="584">
        <v>1299649</v>
      </c>
      <c r="G99" s="608">
        <v>649824.5</v>
      </c>
      <c r="H99" s="587">
        <v>82050.088345518569</v>
      </c>
      <c r="I99" s="607">
        <v>82050.088345518569</v>
      </c>
      <c r="J99" s="478">
        <f>+I99-H99</f>
        <v>0</v>
      </c>
      <c r="K99" s="478"/>
      <c r="L99" s="477">
        <f>+H99</f>
        <v>82050.088345518569</v>
      </c>
      <c r="M99" s="477">
        <f t="shared" ref="M99" si="11">IF(L99&lt;&gt;0,+H99-L99,0)</f>
        <v>0</v>
      </c>
      <c r="N99" s="477">
        <f>+I99</f>
        <v>82050.088345518569</v>
      </c>
      <c r="O99" s="477">
        <f t="shared" ref="O99" si="12">IF(N99&lt;&gt;0,+I99-N99,0)</f>
        <v>0</v>
      </c>
      <c r="P99" s="477">
        <f t="shared" ref="P99" si="13">+O99-M99</f>
        <v>0</v>
      </c>
    </row>
    <row r="100" spans="1:16">
      <c r="B100" s="160" t="str">
        <f>IF(D100=F99,"","IU")</f>
        <v>IU</v>
      </c>
      <c r="C100" s="472">
        <f>IF(D93="","-",+C99+1)</f>
        <v>2019</v>
      </c>
      <c r="D100" s="584">
        <v>1330093</v>
      </c>
      <c r="E100" s="585">
        <v>32814</v>
      </c>
      <c r="F100" s="586">
        <v>1297279</v>
      </c>
      <c r="G100" s="586">
        <v>1313686</v>
      </c>
      <c r="H100" s="606">
        <v>168273.45246575892</v>
      </c>
      <c r="I100" s="607">
        <v>168273.45246575892</v>
      </c>
      <c r="J100" s="478">
        <f t="shared" ref="J100:J130" si="14">+I100-H100</f>
        <v>0</v>
      </c>
      <c r="K100" s="478"/>
      <c r="L100" s="476">
        <f>H100</f>
        <v>168273.45246575892</v>
      </c>
      <c r="M100" s="349">
        <f>IF(L100&lt;&gt;0,+H100-L100,0)</f>
        <v>0</v>
      </c>
      <c r="N100" s="476">
        <f>I100</f>
        <v>168273.45246575892</v>
      </c>
      <c r="O100" s="478">
        <f t="shared" ref="O100:O130" si="15">IF(N100&lt;&gt;0,+I100-N100,0)</f>
        <v>0</v>
      </c>
      <c r="P100" s="478">
        <f t="shared" ref="P100:P130" si="16">+O100-M100</f>
        <v>0</v>
      </c>
    </row>
    <row r="101" spans="1:16">
      <c r="B101" s="160" t="str">
        <f t="shared" ref="B101:B154" si="17">IF(D101=F100,"","IU")</f>
        <v/>
      </c>
      <c r="C101" s="472">
        <f>IF(D93="","-",+C100+1)</f>
        <v>2020</v>
      </c>
      <c r="D101" s="584">
        <v>1297279</v>
      </c>
      <c r="E101" s="585">
        <v>31288</v>
      </c>
      <c r="F101" s="586">
        <v>1265991</v>
      </c>
      <c r="G101" s="586">
        <v>1281635</v>
      </c>
      <c r="H101" s="606">
        <v>179056.99193510308</v>
      </c>
      <c r="I101" s="607">
        <v>179056.99193510308</v>
      </c>
      <c r="J101" s="478">
        <f t="shared" si="14"/>
        <v>0</v>
      </c>
      <c r="K101" s="478"/>
      <c r="L101" s="476">
        <f>H101</f>
        <v>179056.99193510308</v>
      </c>
      <c r="M101" s="349">
        <f>IF(L101&lt;&gt;0,+H101-L101,0)</f>
        <v>0</v>
      </c>
      <c r="N101" s="476">
        <f>I101</f>
        <v>179056.99193510308</v>
      </c>
      <c r="O101" s="478">
        <f t="shared" si="15"/>
        <v>0</v>
      </c>
      <c r="P101" s="478">
        <f t="shared" si="16"/>
        <v>0</v>
      </c>
    </row>
    <row r="102" spans="1:16">
      <c r="B102" s="160" t="str">
        <f t="shared" si="17"/>
        <v/>
      </c>
      <c r="C102" s="472">
        <f>IF(D93="","-",+C101+1)</f>
        <v>2021</v>
      </c>
      <c r="D102" s="347">
        <f>IF(F101+SUM(E$99:E101)=D$92,F101,D$92-SUM(E$99:E101))</f>
        <v>1265991</v>
      </c>
      <c r="E102" s="484">
        <f t="shared" ref="E102:E154" si="18">IF(+J$96&lt;F101,J$96,D102)</f>
        <v>32814</v>
      </c>
      <c r="F102" s="485">
        <f t="shared" ref="F102:F154" si="19">+D102-E102</f>
        <v>1233177</v>
      </c>
      <c r="G102" s="485">
        <f t="shared" ref="G102:G154" si="20">+(F102+D102)/2</f>
        <v>1249584</v>
      </c>
      <c r="H102" s="486">
        <f t="shared" ref="H102:H153" si="21">(D102+F102)/2*J$94+E102</f>
        <v>175007.65348742867</v>
      </c>
      <c r="I102" s="542">
        <f t="shared" ref="I102:I153" si="22">+J$95*G102+E102</f>
        <v>175007.65348742867</v>
      </c>
      <c r="J102" s="478">
        <f t="shared" si="14"/>
        <v>0</v>
      </c>
      <c r="K102" s="478"/>
      <c r="L102" s="487"/>
      <c r="M102" s="478">
        <f t="shared" ref="M102:M130" si="23">IF(L102&lt;&gt;0,+H102-L102,0)</f>
        <v>0</v>
      </c>
      <c r="N102" s="487"/>
      <c r="O102" s="478">
        <f t="shared" si="15"/>
        <v>0</v>
      </c>
      <c r="P102" s="478">
        <f t="shared" si="16"/>
        <v>0</v>
      </c>
    </row>
    <row r="103" spans="1:16">
      <c r="B103" s="160" t="str">
        <f t="shared" si="17"/>
        <v/>
      </c>
      <c r="C103" s="472">
        <f>IF(D93="","-",+C102+1)</f>
        <v>2022</v>
      </c>
      <c r="D103" s="347">
        <f>IF(F102+SUM(E$99:E102)=D$92,F102,D$92-SUM(E$99:E102))</f>
        <v>1233177</v>
      </c>
      <c r="E103" s="484">
        <f t="shared" si="18"/>
        <v>32814</v>
      </c>
      <c r="F103" s="485">
        <f t="shared" si="19"/>
        <v>1200363</v>
      </c>
      <c r="G103" s="485">
        <f t="shared" si="20"/>
        <v>1216770</v>
      </c>
      <c r="H103" s="486">
        <f t="shared" si="21"/>
        <v>171273.6567768942</v>
      </c>
      <c r="I103" s="542">
        <f t="shared" si="22"/>
        <v>171273.6567768942</v>
      </c>
      <c r="J103" s="478">
        <f t="shared" si="14"/>
        <v>0</v>
      </c>
      <c r="K103" s="478"/>
      <c r="L103" s="487"/>
      <c r="M103" s="478">
        <f t="shared" si="23"/>
        <v>0</v>
      </c>
      <c r="N103" s="487"/>
      <c r="O103" s="478">
        <f t="shared" si="15"/>
        <v>0</v>
      </c>
      <c r="P103" s="478">
        <f t="shared" si="16"/>
        <v>0</v>
      </c>
    </row>
    <row r="104" spans="1:16">
      <c r="B104" s="160" t="str">
        <f t="shared" si="17"/>
        <v/>
      </c>
      <c r="C104" s="472">
        <f>IF(D93="","-",+C103+1)</f>
        <v>2023</v>
      </c>
      <c r="D104" s="347">
        <f>IF(F103+SUM(E$99:E103)=D$92,F103,D$92-SUM(E$99:E103))</f>
        <v>1200363</v>
      </c>
      <c r="E104" s="484">
        <f t="shared" si="18"/>
        <v>32814</v>
      </c>
      <c r="F104" s="485">
        <f t="shared" si="19"/>
        <v>1167549</v>
      </c>
      <c r="G104" s="485">
        <f t="shared" si="20"/>
        <v>1183956</v>
      </c>
      <c r="H104" s="486">
        <f t="shared" si="21"/>
        <v>167539.66006635976</v>
      </c>
      <c r="I104" s="542">
        <f t="shared" si="22"/>
        <v>167539.66006635976</v>
      </c>
      <c r="J104" s="478">
        <f t="shared" si="14"/>
        <v>0</v>
      </c>
      <c r="K104" s="478"/>
      <c r="L104" s="487"/>
      <c r="M104" s="478">
        <f t="shared" si="23"/>
        <v>0</v>
      </c>
      <c r="N104" s="487"/>
      <c r="O104" s="478">
        <f t="shared" si="15"/>
        <v>0</v>
      </c>
      <c r="P104" s="478">
        <f t="shared" si="16"/>
        <v>0</v>
      </c>
    </row>
    <row r="105" spans="1:16">
      <c r="B105" s="160" t="str">
        <f t="shared" si="17"/>
        <v/>
      </c>
      <c r="C105" s="472">
        <f>IF(D93="","-",+C104+1)</f>
        <v>2024</v>
      </c>
      <c r="D105" s="347">
        <f>IF(F104+SUM(E$99:E104)=D$92,F104,D$92-SUM(E$99:E104))</f>
        <v>1167549</v>
      </c>
      <c r="E105" s="484">
        <f t="shared" si="18"/>
        <v>32814</v>
      </c>
      <c r="F105" s="485">
        <f t="shared" si="19"/>
        <v>1134735</v>
      </c>
      <c r="G105" s="485">
        <f t="shared" si="20"/>
        <v>1151142</v>
      </c>
      <c r="H105" s="486">
        <f t="shared" si="21"/>
        <v>163805.66335582529</v>
      </c>
      <c r="I105" s="542">
        <f t="shared" si="22"/>
        <v>163805.66335582529</v>
      </c>
      <c r="J105" s="478">
        <f t="shared" si="14"/>
        <v>0</v>
      </c>
      <c r="K105" s="478"/>
      <c r="L105" s="487"/>
      <c r="M105" s="478">
        <f t="shared" si="23"/>
        <v>0</v>
      </c>
      <c r="N105" s="487"/>
      <c r="O105" s="478">
        <f t="shared" si="15"/>
        <v>0</v>
      </c>
      <c r="P105" s="478">
        <f t="shared" si="16"/>
        <v>0</v>
      </c>
    </row>
    <row r="106" spans="1:16">
      <c r="B106" s="160" t="str">
        <f t="shared" si="17"/>
        <v/>
      </c>
      <c r="C106" s="472">
        <f>IF(D93="","-",+C105+1)</f>
        <v>2025</v>
      </c>
      <c r="D106" s="347">
        <f>IF(F105+SUM(E$99:E105)=D$92,F105,D$92-SUM(E$99:E105))</f>
        <v>1134735</v>
      </c>
      <c r="E106" s="484">
        <f t="shared" si="18"/>
        <v>32814</v>
      </c>
      <c r="F106" s="485">
        <f t="shared" si="19"/>
        <v>1101921</v>
      </c>
      <c r="G106" s="485">
        <f t="shared" si="20"/>
        <v>1118328</v>
      </c>
      <c r="H106" s="486">
        <f t="shared" si="21"/>
        <v>160071.66664529085</v>
      </c>
      <c r="I106" s="542">
        <f t="shared" si="22"/>
        <v>160071.66664529085</v>
      </c>
      <c r="J106" s="478">
        <f t="shared" si="14"/>
        <v>0</v>
      </c>
      <c r="K106" s="478"/>
      <c r="L106" s="487"/>
      <c r="M106" s="478">
        <f t="shared" si="23"/>
        <v>0</v>
      </c>
      <c r="N106" s="487"/>
      <c r="O106" s="478">
        <f t="shared" si="15"/>
        <v>0</v>
      </c>
      <c r="P106" s="478">
        <f t="shared" si="16"/>
        <v>0</v>
      </c>
    </row>
    <row r="107" spans="1:16">
      <c r="B107" s="160" t="str">
        <f t="shared" si="17"/>
        <v/>
      </c>
      <c r="C107" s="472">
        <f>IF(D93="","-",+C106+1)</f>
        <v>2026</v>
      </c>
      <c r="D107" s="347">
        <f>IF(F106+SUM(E$99:E106)=D$92,F106,D$92-SUM(E$99:E106))</f>
        <v>1101921</v>
      </c>
      <c r="E107" s="484">
        <f t="shared" si="18"/>
        <v>32814</v>
      </c>
      <c r="F107" s="485">
        <f t="shared" si="19"/>
        <v>1069107</v>
      </c>
      <c r="G107" s="485">
        <f t="shared" si="20"/>
        <v>1085514</v>
      </c>
      <c r="H107" s="486">
        <f t="shared" si="21"/>
        <v>156337.66993475641</v>
      </c>
      <c r="I107" s="542">
        <f t="shared" si="22"/>
        <v>156337.66993475641</v>
      </c>
      <c r="J107" s="478">
        <f t="shared" si="14"/>
        <v>0</v>
      </c>
      <c r="K107" s="478"/>
      <c r="L107" s="487"/>
      <c r="M107" s="478">
        <f t="shared" si="23"/>
        <v>0</v>
      </c>
      <c r="N107" s="487"/>
      <c r="O107" s="478">
        <f t="shared" si="15"/>
        <v>0</v>
      </c>
      <c r="P107" s="478">
        <f t="shared" si="16"/>
        <v>0</v>
      </c>
    </row>
    <row r="108" spans="1:16">
      <c r="B108" s="160" t="str">
        <f t="shared" si="17"/>
        <v/>
      </c>
      <c r="C108" s="472">
        <f>IF(D93="","-",+C107+1)</f>
        <v>2027</v>
      </c>
      <c r="D108" s="347">
        <f>IF(F107+SUM(E$99:E107)=D$92,F107,D$92-SUM(E$99:E107))</f>
        <v>1069107</v>
      </c>
      <c r="E108" s="484">
        <f t="shared" si="18"/>
        <v>32814</v>
      </c>
      <c r="F108" s="485">
        <f t="shared" si="19"/>
        <v>1036293</v>
      </c>
      <c r="G108" s="485">
        <f t="shared" si="20"/>
        <v>1052700</v>
      </c>
      <c r="H108" s="486">
        <f t="shared" si="21"/>
        <v>152603.67322422194</v>
      </c>
      <c r="I108" s="542">
        <f t="shared" si="22"/>
        <v>152603.67322422194</v>
      </c>
      <c r="J108" s="478">
        <f t="shared" si="14"/>
        <v>0</v>
      </c>
      <c r="K108" s="478"/>
      <c r="L108" s="487"/>
      <c r="M108" s="478">
        <f t="shared" si="23"/>
        <v>0</v>
      </c>
      <c r="N108" s="487"/>
      <c r="O108" s="478">
        <f t="shared" si="15"/>
        <v>0</v>
      </c>
      <c r="P108" s="478">
        <f t="shared" si="16"/>
        <v>0</v>
      </c>
    </row>
    <row r="109" spans="1:16">
      <c r="B109" s="160" t="str">
        <f t="shared" si="17"/>
        <v/>
      </c>
      <c r="C109" s="472">
        <f>IF(D93="","-",+C108+1)</f>
        <v>2028</v>
      </c>
      <c r="D109" s="347">
        <f>IF(F108+SUM(E$99:E108)=D$92,F108,D$92-SUM(E$99:E108))</f>
        <v>1036293</v>
      </c>
      <c r="E109" s="484">
        <f t="shared" si="18"/>
        <v>32814</v>
      </c>
      <c r="F109" s="485">
        <f t="shared" si="19"/>
        <v>1003479</v>
      </c>
      <c r="G109" s="485">
        <f t="shared" si="20"/>
        <v>1019886</v>
      </c>
      <c r="H109" s="486">
        <f t="shared" si="21"/>
        <v>148869.67651368747</v>
      </c>
      <c r="I109" s="542">
        <f t="shared" si="22"/>
        <v>148869.67651368747</v>
      </c>
      <c r="J109" s="478">
        <f t="shared" si="14"/>
        <v>0</v>
      </c>
      <c r="K109" s="478"/>
      <c r="L109" s="487"/>
      <c r="M109" s="478">
        <f t="shared" si="23"/>
        <v>0</v>
      </c>
      <c r="N109" s="487"/>
      <c r="O109" s="478">
        <f t="shared" si="15"/>
        <v>0</v>
      </c>
      <c r="P109" s="478">
        <f t="shared" si="16"/>
        <v>0</v>
      </c>
    </row>
    <row r="110" spans="1:16">
      <c r="B110" s="160" t="str">
        <f t="shared" si="17"/>
        <v/>
      </c>
      <c r="C110" s="472">
        <f>IF(D93="","-",+C109+1)</f>
        <v>2029</v>
      </c>
      <c r="D110" s="347">
        <f>IF(F109+SUM(E$99:E109)=D$92,F109,D$92-SUM(E$99:E109))</f>
        <v>1003479</v>
      </c>
      <c r="E110" s="484">
        <f t="shared" si="18"/>
        <v>32814</v>
      </c>
      <c r="F110" s="485">
        <f t="shared" si="19"/>
        <v>970665</v>
      </c>
      <c r="G110" s="485">
        <f t="shared" si="20"/>
        <v>987072</v>
      </c>
      <c r="H110" s="486">
        <f t="shared" si="21"/>
        <v>145135.67980315303</v>
      </c>
      <c r="I110" s="542">
        <f t="shared" si="22"/>
        <v>145135.67980315303</v>
      </c>
      <c r="J110" s="478">
        <f t="shared" si="14"/>
        <v>0</v>
      </c>
      <c r="K110" s="478"/>
      <c r="L110" s="487"/>
      <c r="M110" s="478">
        <f t="shared" si="23"/>
        <v>0</v>
      </c>
      <c r="N110" s="487"/>
      <c r="O110" s="478">
        <f t="shared" si="15"/>
        <v>0</v>
      </c>
      <c r="P110" s="478">
        <f t="shared" si="16"/>
        <v>0</v>
      </c>
    </row>
    <row r="111" spans="1:16">
      <c r="B111" s="160" t="str">
        <f t="shared" si="17"/>
        <v/>
      </c>
      <c r="C111" s="472">
        <f>IF(D93="","-",+C110+1)</f>
        <v>2030</v>
      </c>
      <c r="D111" s="347">
        <f>IF(F110+SUM(E$99:E110)=D$92,F110,D$92-SUM(E$99:E110))</f>
        <v>970665</v>
      </c>
      <c r="E111" s="484">
        <f t="shared" si="18"/>
        <v>32814</v>
      </c>
      <c r="F111" s="485">
        <f t="shared" si="19"/>
        <v>937851</v>
      </c>
      <c r="G111" s="485">
        <f t="shared" si="20"/>
        <v>954258</v>
      </c>
      <c r="H111" s="486">
        <f t="shared" si="21"/>
        <v>141401.68309261859</v>
      </c>
      <c r="I111" s="542">
        <f t="shared" si="22"/>
        <v>141401.68309261859</v>
      </c>
      <c r="J111" s="478">
        <f t="shared" si="14"/>
        <v>0</v>
      </c>
      <c r="K111" s="478"/>
      <c r="L111" s="487"/>
      <c r="M111" s="478">
        <f t="shared" si="23"/>
        <v>0</v>
      </c>
      <c r="N111" s="487"/>
      <c r="O111" s="478">
        <f t="shared" si="15"/>
        <v>0</v>
      </c>
      <c r="P111" s="478">
        <f t="shared" si="16"/>
        <v>0</v>
      </c>
    </row>
    <row r="112" spans="1:16">
      <c r="B112" s="160" t="str">
        <f t="shared" si="17"/>
        <v/>
      </c>
      <c r="C112" s="472">
        <f>IF(D93="","-",+C111+1)</f>
        <v>2031</v>
      </c>
      <c r="D112" s="347">
        <f>IF(F111+SUM(E$99:E111)=D$92,F111,D$92-SUM(E$99:E111))</f>
        <v>937851</v>
      </c>
      <c r="E112" s="484">
        <f t="shared" si="18"/>
        <v>32814</v>
      </c>
      <c r="F112" s="485">
        <f t="shared" si="19"/>
        <v>905037</v>
      </c>
      <c r="G112" s="485">
        <f t="shared" si="20"/>
        <v>921444</v>
      </c>
      <c r="H112" s="486">
        <f t="shared" si="21"/>
        <v>137667.68638208415</v>
      </c>
      <c r="I112" s="542">
        <f t="shared" si="22"/>
        <v>137667.68638208415</v>
      </c>
      <c r="J112" s="478">
        <f t="shared" si="14"/>
        <v>0</v>
      </c>
      <c r="K112" s="478"/>
      <c r="L112" s="487"/>
      <c r="M112" s="478">
        <f t="shared" si="23"/>
        <v>0</v>
      </c>
      <c r="N112" s="487"/>
      <c r="O112" s="478">
        <f t="shared" si="15"/>
        <v>0</v>
      </c>
      <c r="P112" s="478">
        <f t="shared" si="16"/>
        <v>0</v>
      </c>
    </row>
    <row r="113" spans="2:16">
      <c r="B113" s="160" t="str">
        <f t="shared" si="17"/>
        <v/>
      </c>
      <c r="C113" s="472">
        <f>IF(D93="","-",+C112+1)</f>
        <v>2032</v>
      </c>
      <c r="D113" s="347">
        <f>IF(F112+SUM(E$99:E112)=D$92,F112,D$92-SUM(E$99:E112))</f>
        <v>905037</v>
      </c>
      <c r="E113" s="484">
        <f t="shared" si="18"/>
        <v>32814</v>
      </c>
      <c r="F113" s="485">
        <f t="shared" si="19"/>
        <v>872223</v>
      </c>
      <c r="G113" s="485">
        <f t="shared" si="20"/>
        <v>888630</v>
      </c>
      <c r="H113" s="486">
        <f t="shared" si="21"/>
        <v>133933.68967154968</v>
      </c>
      <c r="I113" s="542">
        <f t="shared" si="22"/>
        <v>133933.68967154968</v>
      </c>
      <c r="J113" s="478">
        <f t="shared" si="14"/>
        <v>0</v>
      </c>
      <c r="K113" s="478"/>
      <c r="L113" s="487"/>
      <c r="M113" s="478">
        <f t="shared" si="23"/>
        <v>0</v>
      </c>
      <c r="N113" s="487"/>
      <c r="O113" s="478">
        <f t="shared" si="15"/>
        <v>0</v>
      </c>
      <c r="P113" s="478">
        <f t="shared" si="16"/>
        <v>0</v>
      </c>
    </row>
    <row r="114" spans="2:16">
      <c r="B114" s="160" t="str">
        <f t="shared" si="17"/>
        <v/>
      </c>
      <c r="C114" s="472">
        <f>IF(D93="","-",+C113+1)</f>
        <v>2033</v>
      </c>
      <c r="D114" s="347">
        <f>IF(F113+SUM(E$99:E113)=D$92,F113,D$92-SUM(E$99:E113))</f>
        <v>872223</v>
      </c>
      <c r="E114" s="484">
        <f t="shared" si="18"/>
        <v>32814</v>
      </c>
      <c r="F114" s="485">
        <f t="shared" si="19"/>
        <v>839409</v>
      </c>
      <c r="G114" s="485">
        <f t="shared" si="20"/>
        <v>855816</v>
      </c>
      <c r="H114" s="486">
        <f t="shared" si="21"/>
        <v>130199.69296101523</v>
      </c>
      <c r="I114" s="542">
        <f t="shared" si="22"/>
        <v>130199.69296101523</v>
      </c>
      <c r="J114" s="478">
        <f t="shared" si="14"/>
        <v>0</v>
      </c>
      <c r="K114" s="478"/>
      <c r="L114" s="487"/>
      <c r="M114" s="478">
        <f t="shared" si="23"/>
        <v>0</v>
      </c>
      <c r="N114" s="487"/>
      <c r="O114" s="478">
        <f t="shared" si="15"/>
        <v>0</v>
      </c>
      <c r="P114" s="478">
        <f t="shared" si="16"/>
        <v>0</v>
      </c>
    </row>
    <row r="115" spans="2:16">
      <c r="B115" s="160" t="str">
        <f t="shared" si="17"/>
        <v/>
      </c>
      <c r="C115" s="472">
        <f>IF(D93="","-",+C114+1)</f>
        <v>2034</v>
      </c>
      <c r="D115" s="347">
        <f>IF(F114+SUM(E$99:E114)=D$92,F114,D$92-SUM(E$99:E114))</f>
        <v>839409</v>
      </c>
      <c r="E115" s="484">
        <f t="shared" si="18"/>
        <v>32814</v>
      </c>
      <c r="F115" s="485">
        <f t="shared" si="19"/>
        <v>806595</v>
      </c>
      <c r="G115" s="485">
        <f t="shared" si="20"/>
        <v>823002</v>
      </c>
      <c r="H115" s="486">
        <f t="shared" si="21"/>
        <v>126465.69625048077</v>
      </c>
      <c r="I115" s="542">
        <f t="shared" si="22"/>
        <v>126465.69625048077</v>
      </c>
      <c r="J115" s="478">
        <f t="shared" si="14"/>
        <v>0</v>
      </c>
      <c r="K115" s="478"/>
      <c r="L115" s="487"/>
      <c r="M115" s="478">
        <f t="shared" si="23"/>
        <v>0</v>
      </c>
      <c r="N115" s="487"/>
      <c r="O115" s="478">
        <f t="shared" si="15"/>
        <v>0</v>
      </c>
      <c r="P115" s="478">
        <f t="shared" si="16"/>
        <v>0</v>
      </c>
    </row>
    <row r="116" spans="2:16">
      <c r="B116" s="160" t="str">
        <f t="shared" si="17"/>
        <v/>
      </c>
      <c r="C116" s="472">
        <f>IF(D93="","-",+C115+1)</f>
        <v>2035</v>
      </c>
      <c r="D116" s="347">
        <f>IF(F115+SUM(E$99:E115)=D$92,F115,D$92-SUM(E$99:E115))</f>
        <v>806595</v>
      </c>
      <c r="E116" s="484">
        <f t="shared" si="18"/>
        <v>32814</v>
      </c>
      <c r="F116" s="485">
        <f t="shared" si="19"/>
        <v>773781</v>
      </c>
      <c r="G116" s="485">
        <f t="shared" si="20"/>
        <v>790188</v>
      </c>
      <c r="H116" s="486">
        <f t="shared" si="21"/>
        <v>122731.69953994632</v>
      </c>
      <c r="I116" s="542">
        <f t="shared" si="22"/>
        <v>122731.69953994632</v>
      </c>
      <c r="J116" s="478">
        <f t="shared" si="14"/>
        <v>0</v>
      </c>
      <c r="K116" s="478"/>
      <c r="L116" s="487"/>
      <c r="M116" s="478">
        <f t="shared" si="23"/>
        <v>0</v>
      </c>
      <c r="N116" s="487"/>
      <c r="O116" s="478">
        <f t="shared" si="15"/>
        <v>0</v>
      </c>
      <c r="P116" s="478">
        <f t="shared" si="16"/>
        <v>0</v>
      </c>
    </row>
    <row r="117" spans="2:16">
      <c r="B117" s="160" t="str">
        <f t="shared" si="17"/>
        <v/>
      </c>
      <c r="C117" s="472">
        <f>IF(D93="","-",+C116+1)</f>
        <v>2036</v>
      </c>
      <c r="D117" s="347">
        <f>IF(F116+SUM(E$99:E116)=D$92,F116,D$92-SUM(E$99:E116))</f>
        <v>773781</v>
      </c>
      <c r="E117" s="484">
        <f t="shared" si="18"/>
        <v>32814</v>
      </c>
      <c r="F117" s="485">
        <f t="shared" si="19"/>
        <v>740967</v>
      </c>
      <c r="G117" s="485">
        <f t="shared" si="20"/>
        <v>757374</v>
      </c>
      <c r="H117" s="486">
        <f t="shared" si="21"/>
        <v>118997.70282941186</v>
      </c>
      <c r="I117" s="542">
        <f t="shared" si="22"/>
        <v>118997.70282941186</v>
      </c>
      <c r="J117" s="478">
        <f t="shared" si="14"/>
        <v>0</v>
      </c>
      <c r="K117" s="478"/>
      <c r="L117" s="487"/>
      <c r="M117" s="478">
        <f t="shared" si="23"/>
        <v>0</v>
      </c>
      <c r="N117" s="487"/>
      <c r="O117" s="478">
        <f t="shared" si="15"/>
        <v>0</v>
      </c>
      <c r="P117" s="478">
        <f t="shared" si="16"/>
        <v>0</v>
      </c>
    </row>
    <row r="118" spans="2:16">
      <c r="B118" s="160" t="str">
        <f t="shared" si="17"/>
        <v/>
      </c>
      <c r="C118" s="472">
        <f>IF(D93="","-",+C117+1)</f>
        <v>2037</v>
      </c>
      <c r="D118" s="347">
        <f>IF(F117+SUM(E$99:E117)=D$92,F117,D$92-SUM(E$99:E117))</f>
        <v>740967</v>
      </c>
      <c r="E118" s="484">
        <f t="shared" si="18"/>
        <v>32814</v>
      </c>
      <c r="F118" s="485">
        <f t="shared" si="19"/>
        <v>708153</v>
      </c>
      <c r="G118" s="485">
        <f t="shared" si="20"/>
        <v>724560</v>
      </c>
      <c r="H118" s="486">
        <f t="shared" si="21"/>
        <v>115263.70611887741</v>
      </c>
      <c r="I118" s="542">
        <f t="shared" si="22"/>
        <v>115263.70611887741</v>
      </c>
      <c r="J118" s="478">
        <f t="shared" si="14"/>
        <v>0</v>
      </c>
      <c r="K118" s="478"/>
      <c r="L118" s="487"/>
      <c r="M118" s="478">
        <f t="shared" si="23"/>
        <v>0</v>
      </c>
      <c r="N118" s="487"/>
      <c r="O118" s="478">
        <f t="shared" si="15"/>
        <v>0</v>
      </c>
      <c r="P118" s="478">
        <f t="shared" si="16"/>
        <v>0</v>
      </c>
    </row>
    <row r="119" spans="2:16">
      <c r="B119" s="160" t="str">
        <f t="shared" si="17"/>
        <v/>
      </c>
      <c r="C119" s="472">
        <f>IF(D93="","-",+C118+1)</f>
        <v>2038</v>
      </c>
      <c r="D119" s="347">
        <f>IF(F118+SUM(E$99:E118)=D$92,F118,D$92-SUM(E$99:E118))</f>
        <v>708153</v>
      </c>
      <c r="E119" s="484">
        <f t="shared" si="18"/>
        <v>32814</v>
      </c>
      <c r="F119" s="485">
        <f t="shared" si="19"/>
        <v>675339</v>
      </c>
      <c r="G119" s="485">
        <f t="shared" si="20"/>
        <v>691746</v>
      </c>
      <c r="H119" s="486">
        <f t="shared" si="21"/>
        <v>111529.70940834297</v>
      </c>
      <c r="I119" s="542">
        <f t="shared" si="22"/>
        <v>111529.70940834297</v>
      </c>
      <c r="J119" s="478">
        <f t="shared" si="14"/>
        <v>0</v>
      </c>
      <c r="K119" s="478"/>
      <c r="L119" s="487"/>
      <c r="M119" s="478">
        <f t="shared" si="23"/>
        <v>0</v>
      </c>
      <c r="N119" s="487"/>
      <c r="O119" s="478">
        <f t="shared" si="15"/>
        <v>0</v>
      </c>
      <c r="P119" s="478">
        <f t="shared" si="16"/>
        <v>0</v>
      </c>
    </row>
    <row r="120" spans="2:16">
      <c r="B120" s="160" t="str">
        <f t="shared" si="17"/>
        <v/>
      </c>
      <c r="C120" s="472">
        <f>IF(D93="","-",+C119+1)</f>
        <v>2039</v>
      </c>
      <c r="D120" s="347">
        <f>IF(F119+SUM(E$99:E119)=D$92,F119,D$92-SUM(E$99:E119))</f>
        <v>675339</v>
      </c>
      <c r="E120" s="484">
        <f t="shared" si="18"/>
        <v>32814</v>
      </c>
      <c r="F120" s="485">
        <f t="shared" si="19"/>
        <v>642525</v>
      </c>
      <c r="G120" s="485">
        <f t="shared" si="20"/>
        <v>658932</v>
      </c>
      <c r="H120" s="486">
        <f t="shared" si="21"/>
        <v>107795.71269780851</v>
      </c>
      <c r="I120" s="542">
        <f t="shared" si="22"/>
        <v>107795.71269780851</v>
      </c>
      <c r="J120" s="478">
        <f t="shared" si="14"/>
        <v>0</v>
      </c>
      <c r="K120" s="478"/>
      <c r="L120" s="487"/>
      <c r="M120" s="478">
        <f t="shared" si="23"/>
        <v>0</v>
      </c>
      <c r="N120" s="487"/>
      <c r="O120" s="478">
        <f t="shared" si="15"/>
        <v>0</v>
      </c>
      <c r="P120" s="478">
        <f t="shared" si="16"/>
        <v>0</v>
      </c>
    </row>
    <row r="121" spans="2:16">
      <c r="B121" s="160" t="str">
        <f t="shared" si="17"/>
        <v/>
      </c>
      <c r="C121" s="472">
        <f>IF(D93="","-",+C120+1)</f>
        <v>2040</v>
      </c>
      <c r="D121" s="347">
        <f>IF(F120+SUM(E$99:E120)=D$92,F120,D$92-SUM(E$99:E120))</f>
        <v>642525</v>
      </c>
      <c r="E121" s="484">
        <f t="shared" si="18"/>
        <v>32814</v>
      </c>
      <c r="F121" s="485">
        <f t="shared" si="19"/>
        <v>609711</v>
      </c>
      <c r="G121" s="485">
        <f t="shared" si="20"/>
        <v>626118</v>
      </c>
      <c r="H121" s="486">
        <f t="shared" si="21"/>
        <v>104061.71598727406</v>
      </c>
      <c r="I121" s="542">
        <f t="shared" si="22"/>
        <v>104061.71598727406</v>
      </c>
      <c r="J121" s="478">
        <f t="shared" si="14"/>
        <v>0</v>
      </c>
      <c r="K121" s="478"/>
      <c r="L121" s="487"/>
      <c r="M121" s="478">
        <f t="shared" si="23"/>
        <v>0</v>
      </c>
      <c r="N121" s="487"/>
      <c r="O121" s="478">
        <f t="shared" si="15"/>
        <v>0</v>
      </c>
      <c r="P121" s="478">
        <f t="shared" si="16"/>
        <v>0</v>
      </c>
    </row>
    <row r="122" spans="2:16">
      <c r="B122" s="160" t="str">
        <f t="shared" si="17"/>
        <v/>
      </c>
      <c r="C122" s="472">
        <f>IF(D93="","-",+C121+1)</f>
        <v>2041</v>
      </c>
      <c r="D122" s="347">
        <f>IF(F121+SUM(E$99:E121)=D$92,F121,D$92-SUM(E$99:E121))</f>
        <v>609711</v>
      </c>
      <c r="E122" s="484">
        <f t="shared" si="18"/>
        <v>32814</v>
      </c>
      <c r="F122" s="485">
        <f t="shared" si="19"/>
        <v>576897</v>
      </c>
      <c r="G122" s="485">
        <f t="shared" si="20"/>
        <v>593304</v>
      </c>
      <c r="H122" s="486">
        <f t="shared" si="21"/>
        <v>100327.7192767396</v>
      </c>
      <c r="I122" s="542">
        <f t="shared" si="22"/>
        <v>100327.7192767396</v>
      </c>
      <c r="J122" s="478">
        <f t="shared" si="14"/>
        <v>0</v>
      </c>
      <c r="K122" s="478"/>
      <c r="L122" s="487"/>
      <c r="M122" s="478">
        <f t="shared" si="23"/>
        <v>0</v>
      </c>
      <c r="N122" s="487"/>
      <c r="O122" s="478">
        <f t="shared" si="15"/>
        <v>0</v>
      </c>
      <c r="P122" s="478">
        <f t="shared" si="16"/>
        <v>0</v>
      </c>
    </row>
    <row r="123" spans="2:16">
      <c r="B123" s="160" t="str">
        <f t="shared" si="17"/>
        <v/>
      </c>
      <c r="C123" s="472">
        <f>IF(D93="","-",+C122+1)</f>
        <v>2042</v>
      </c>
      <c r="D123" s="347">
        <f>IF(F122+SUM(E$99:E122)=D$92,F122,D$92-SUM(E$99:E122))</f>
        <v>576897</v>
      </c>
      <c r="E123" s="484">
        <f t="shared" si="18"/>
        <v>32814</v>
      </c>
      <c r="F123" s="485">
        <f t="shared" si="19"/>
        <v>544083</v>
      </c>
      <c r="G123" s="485">
        <f t="shared" si="20"/>
        <v>560490</v>
      </c>
      <c r="H123" s="486">
        <f t="shared" si="21"/>
        <v>96593.72256620515</v>
      </c>
      <c r="I123" s="542">
        <f t="shared" si="22"/>
        <v>96593.72256620515</v>
      </c>
      <c r="J123" s="478">
        <f t="shared" si="14"/>
        <v>0</v>
      </c>
      <c r="K123" s="478"/>
      <c r="L123" s="487"/>
      <c r="M123" s="478">
        <f t="shared" si="23"/>
        <v>0</v>
      </c>
      <c r="N123" s="487"/>
      <c r="O123" s="478">
        <f t="shared" si="15"/>
        <v>0</v>
      </c>
      <c r="P123" s="478">
        <f t="shared" si="16"/>
        <v>0</v>
      </c>
    </row>
    <row r="124" spans="2:16">
      <c r="B124" s="160" t="str">
        <f t="shared" si="17"/>
        <v/>
      </c>
      <c r="C124" s="472">
        <f>IF(D93="","-",+C123+1)</f>
        <v>2043</v>
      </c>
      <c r="D124" s="347">
        <f>IF(F123+SUM(E$99:E123)=D$92,F123,D$92-SUM(E$99:E123))</f>
        <v>544083</v>
      </c>
      <c r="E124" s="484">
        <f t="shared" si="18"/>
        <v>32814</v>
      </c>
      <c r="F124" s="485">
        <f t="shared" si="19"/>
        <v>511269</v>
      </c>
      <c r="G124" s="485">
        <f t="shared" si="20"/>
        <v>527676</v>
      </c>
      <c r="H124" s="486">
        <f t="shared" si="21"/>
        <v>92859.725855670695</v>
      </c>
      <c r="I124" s="542">
        <f t="shared" si="22"/>
        <v>92859.725855670695</v>
      </c>
      <c r="J124" s="478">
        <f t="shared" si="14"/>
        <v>0</v>
      </c>
      <c r="K124" s="478"/>
      <c r="L124" s="487"/>
      <c r="M124" s="478">
        <f t="shared" si="23"/>
        <v>0</v>
      </c>
      <c r="N124" s="487"/>
      <c r="O124" s="478">
        <f t="shared" si="15"/>
        <v>0</v>
      </c>
      <c r="P124" s="478">
        <f t="shared" si="16"/>
        <v>0</v>
      </c>
    </row>
    <row r="125" spans="2:16">
      <c r="B125" s="160" t="str">
        <f t="shared" si="17"/>
        <v/>
      </c>
      <c r="C125" s="472">
        <f>IF(D93="","-",+C124+1)</f>
        <v>2044</v>
      </c>
      <c r="D125" s="347">
        <f>IF(F124+SUM(E$99:E124)=D$92,F124,D$92-SUM(E$99:E124))</f>
        <v>511269</v>
      </c>
      <c r="E125" s="484">
        <f t="shared" si="18"/>
        <v>32814</v>
      </c>
      <c r="F125" s="485">
        <f t="shared" si="19"/>
        <v>478455</v>
      </c>
      <c r="G125" s="485">
        <f t="shared" si="20"/>
        <v>494862</v>
      </c>
      <c r="H125" s="486">
        <f t="shared" si="21"/>
        <v>89125.72914513624</v>
      </c>
      <c r="I125" s="542">
        <f t="shared" si="22"/>
        <v>89125.72914513624</v>
      </c>
      <c r="J125" s="478">
        <f t="shared" si="14"/>
        <v>0</v>
      </c>
      <c r="K125" s="478"/>
      <c r="L125" s="487"/>
      <c r="M125" s="478">
        <f t="shared" si="23"/>
        <v>0</v>
      </c>
      <c r="N125" s="487"/>
      <c r="O125" s="478">
        <f t="shared" si="15"/>
        <v>0</v>
      </c>
      <c r="P125" s="478">
        <f t="shared" si="16"/>
        <v>0</v>
      </c>
    </row>
    <row r="126" spans="2:16">
      <c r="B126" s="160" t="str">
        <f t="shared" si="17"/>
        <v/>
      </c>
      <c r="C126" s="472">
        <f>IF(D93="","-",+C125+1)</f>
        <v>2045</v>
      </c>
      <c r="D126" s="347">
        <f>IF(F125+SUM(E$99:E125)=D$92,F125,D$92-SUM(E$99:E125))</f>
        <v>478455</v>
      </c>
      <c r="E126" s="484">
        <f t="shared" si="18"/>
        <v>32814</v>
      </c>
      <c r="F126" s="485">
        <f t="shared" si="19"/>
        <v>445641</v>
      </c>
      <c r="G126" s="485">
        <f t="shared" si="20"/>
        <v>462048</v>
      </c>
      <c r="H126" s="486">
        <f t="shared" si="21"/>
        <v>85391.732434601785</v>
      </c>
      <c r="I126" s="542">
        <f t="shared" si="22"/>
        <v>85391.732434601785</v>
      </c>
      <c r="J126" s="478">
        <f t="shared" si="14"/>
        <v>0</v>
      </c>
      <c r="K126" s="478"/>
      <c r="L126" s="487"/>
      <c r="M126" s="478">
        <f t="shared" si="23"/>
        <v>0</v>
      </c>
      <c r="N126" s="487"/>
      <c r="O126" s="478">
        <f t="shared" si="15"/>
        <v>0</v>
      </c>
      <c r="P126" s="478">
        <f t="shared" si="16"/>
        <v>0</v>
      </c>
    </row>
    <row r="127" spans="2:16">
      <c r="B127" s="160" t="str">
        <f t="shared" si="17"/>
        <v/>
      </c>
      <c r="C127" s="472">
        <f>IF(D93="","-",+C126+1)</f>
        <v>2046</v>
      </c>
      <c r="D127" s="347">
        <f>IF(F126+SUM(E$99:E126)=D$92,F126,D$92-SUM(E$99:E126))</f>
        <v>445641</v>
      </c>
      <c r="E127" s="484">
        <f t="shared" si="18"/>
        <v>32814</v>
      </c>
      <c r="F127" s="485">
        <f t="shared" si="19"/>
        <v>412827</v>
      </c>
      <c r="G127" s="485">
        <f t="shared" si="20"/>
        <v>429234</v>
      </c>
      <c r="H127" s="486">
        <f t="shared" si="21"/>
        <v>81657.735724067345</v>
      </c>
      <c r="I127" s="542">
        <f t="shared" si="22"/>
        <v>81657.735724067345</v>
      </c>
      <c r="J127" s="478">
        <f t="shared" si="14"/>
        <v>0</v>
      </c>
      <c r="K127" s="478"/>
      <c r="L127" s="487"/>
      <c r="M127" s="478">
        <f t="shared" si="23"/>
        <v>0</v>
      </c>
      <c r="N127" s="487"/>
      <c r="O127" s="478">
        <f t="shared" si="15"/>
        <v>0</v>
      </c>
      <c r="P127" s="478">
        <f t="shared" si="16"/>
        <v>0</v>
      </c>
    </row>
    <row r="128" spans="2:16">
      <c r="B128" s="160" t="str">
        <f t="shared" si="17"/>
        <v/>
      </c>
      <c r="C128" s="472">
        <f>IF(D93="","-",+C127+1)</f>
        <v>2047</v>
      </c>
      <c r="D128" s="347">
        <f>IF(F127+SUM(E$99:E127)=D$92,F127,D$92-SUM(E$99:E127))</f>
        <v>412827</v>
      </c>
      <c r="E128" s="484">
        <f t="shared" si="18"/>
        <v>32814</v>
      </c>
      <c r="F128" s="485">
        <f t="shared" si="19"/>
        <v>380013</v>
      </c>
      <c r="G128" s="485">
        <f t="shared" si="20"/>
        <v>396420</v>
      </c>
      <c r="H128" s="486">
        <f t="shared" si="21"/>
        <v>77923.739013532875</v>
      </c>
      <c r="I128" s="542">
        <f t="shared" si="22"/>
        <v>77923.739013532875</v>
      </c>
      <c r="J128" s="478">
        <f t="shared" si="14"/>
        <v>0</v>
      </c>
      <c r="K128" s="478"/>
      <c r="L128" s="487"/>
      <c r="M128" s="478">
        <f t="shared" si="23"/>
        <v>0</v>
      </c>
      <c r="N128" s="487"/>
      <c r="O128" s="478">
        <f t="shared" si="15"/>
        <v>0</v>
      </c>
      <c r="P128" s="478">
        <f t="shared" si="16"/>
        <v>0</v>
      </c>
    </row>
    <row r="129" spans="2:16">
      <c r="B129" s="160" t="str">
        <f t="shared" si="17"/>
        <v/>
      </c>
      <c r="C129" s="472">
        <f>IF(D93="","-",+C128+1)</f>
        <v>2048</v>
      </c>
      <c r="D129" s="347">
        <f>IF(F128+SUM(E$99:E128)=D$92,F128,D$92-SUM(E$99:E128))</f>
        <v>380013</v>
      </c>
      <c r="E129" s="484">
        <f t="shared" si="18"/>
        <v>32814</v>
      </c>
      <c r="F129" s="485">
        <f t="shared" si="19"/>
        <v>347199</v>
      </c>
      <c r="G129" s="485">
        <f t="shared" si="20"/>
        <v>363606</v>
      </c>
      <c r="H129" s="486">
        <f t="shared" si="21"/>
        <v>74189.742302998435</v>
      </c>
      <c r="I129" s="542">
        <f t="shared" si="22"/>
        <v>74189.742302998435</v>
      </c>
      <c r="J129" s="478">
        <f t="shared" si="14"/>
        <v>0</v>
      </c>
      <c r="K129" s="478"/>
      <c r="L129" s="487"/>
      <c r="M129" s="478">
        <f t="shared" si="23"/>
        <v>0</v>
      </c>
      <c r="N129" s="487"/>
      <c r="O129" s="478">
        <f t="shared" si="15"/>
        <v>0</v>
      </c>
      <c r="P129" s="478">
        <f t="shared" si="16"/>
        <v>0</v>
      </c>
    </row>
    <row r="130" spans="2:16">
      <c r="B130" s="160" t="str">
        <f t="shared" si="17"/>
        <v/>
      </c>
      <c r="C130" s="472">
        <f>IF(D93="","-",+C129+1)</f>
        <v>2049</v>
      </c>
      <c r="D130" s="347">
        <f>IF(F129+SUM(E$99:E129)=D$92,F129,D$92-SUM(E$99:E129))</f>
        <v>347199</v>
      </c>
      <c r="E130" s="484">
        <f t="shared" si="18"/>
        <v>32814</v>
      </c>
      <c r="F130" s="485">
        <f t="shared" si="19"/>
        <v>314385</v>
      </c>
      <c r="G130" s="485">
        <f t="shared" si="20"/>
        <v>330792</v>
      </c>
      <c r="H130" s="486">
        <f t="shared" si="21"/>
        <v>70455.745592463965</v>
      </c>
      <c r="I130" s="542">
        <f t="shared" si="22"/>
        <v>70455.745592463965</v>
      </c>
      <c r="J130" s="478">
        <f t="shared" si="14"/>
        <v>0</v>
      </c>
      <c r="K130" s="478"/>
      <c r="L130" s="487"/>
      <c r="M130" s="478">
        <f t="shared" si="23"/>
        <v>0</v>
      </c>
      <c r="N130" s="487"/>
      <c r="O130" s="478">
        <f t="shared" si="15"/>
        <v>0</v>
      </c>
      <c r="P130" s="478">
        <f t="shared" si="16"/>
        <v>0</v>
      </c>
    </row>
    <row r="131" spans="2:16">
      <c r="B131" s="160" t="str">
        <f t="shared" si="17"/>
        <v/>
      </c>
      <c r="C131" s="472">
        <f>IF(D93="","-",+C130+1)</f>
        <v>2050</v>
      </c>
      <c r="D131" s="347">
        <f>IF(F130+SUM(E$99:E130)=D$92,F130,D$92-SUM(E$99:E130))</f>
        <v>314385</v>
      </c>
      <c r="E131" s="484">
        <f t="shared" si="18"/>
        <v>32814</v>
      </c>
      <c r="F131" s="485">
        <f t="shared" si="19"/>
        <v>281571</v>
      </c>
      <c r="G131" s="485">
        <f t="shared" si="20"/>
        <v>297978</v>
      </c>
      <c r="H131" s="486">
        <f t="shared" si="21"/>
        <v>66721.748881929525</v>
      </c>
      <c r="I131" s="542">
        <f t="shared" si="22"/>
        <v>66721.748881929525</v>
      </c>
      <c r="J131" s="478">
        <f t="shared" ref="J131:J154" si="24">+I541-H541</f>
        <v>0</v>
      </c>
      <c r="K131" s="478"/>
      <c r="L131" s="487"/>
      <c r="M131" s="478">
        <f t="shared" ref="M131:M154" si="25">IF(L541&lt;&gt;0,+H541-L541,0)</f>
        <v>0</v>
      </c>
      <c r="N131" s="487"/>
      <c r="O131" s="478">
        <f t="shared" ref="O131:O154" si="26">IF(N541&lt;&gt;0,+I541-N541,0)</f>
        <v>0</v>
      </c>
      <c r="P131" s="478">
        <f t="shared" ref="P131:P154" si="27">+O541-M541</f>
        <v>0</v>
      </c>
    </row>
    <row r="132" spans="2:16">
      <c r="B132" s="160" t="str">
        <f t="shared" si="17"/>
        <v/>
      </c>
      <c r="C132" s="472">
        <f>IF(D93="","-",+C131+1)</f>
        <v>2051</v>
      </c>
      <c r="D132" s="347">
        <f>IF(F131+SUM(E$99:E131)=D$92,F131,D$92-SUM(E$99:E131))</f>
        <v>281571</v>
      </c>
      <c r="E132" s="484">
        <f t="shared" si="18"/>
        <v>32814</v>
      </c>
      <c r="F132" s="485">
        <f t="shared" si="19"/>
        <v>248757</v>
      </c>
      <c r="G132" s="485">
        <f t="shared" si="20"/>
        <v>265164</v>
      </c>
      <c r="H132" s="486">
        <f t="shared" si="21"/>
        <v>62987.75217139507</v>
      </c>
      <c r="I132" s="542">
        <f t="shared" si="22"/>
        <v>62987.75217139507</v>
      </c>
      <c r="J132" s="478">
        <f t="shared" si="24"/>
        <v>0</v>
      </c>
      <c r="K132" s="478"/>
      <c r="L132" s="487"/>
      <c r="M132" s="478">
        <f t="shared" si="25"/>
        <v>0</v>
      </c>
      <c r="N132" s="487"/>
      <c r="O132" s="478">
        <f t="shared" si="26"/>
        <v>0</v>
      </c>
      <c r="P132" s="478">
        <f t="shared" si="27"/>
        <v>0</v>
      </c>
    </row>
    <row r="133" spans="2:16">
      <c r="B133" s="160" t="str">
        <f t="shared" si="17"/>
        <v/>
      </c>
      <c r="C133" s="472">
        <f>IF(D93="","-",+C132+1)</f>
        <v>2052</v>
      </c>
      <c r="D133" s="347">
        <f>IF(F132+SUM(E$99:E132)=D$92,F132,D$92-SUM(E$99:E132))</f>
        <v>248757</v>
      </c>
      <c r="E133" s="484">
        <f t="shared" si="18"/>
        <v>32814</v>
      </c>
      <c r="F133" s="485">
        <f t="shared" si="19"/>
        <v>215943</v>
      </c>
      <c r="G133" s="485">
        <f t="shared" si="20"/>
        <v>232350</v>
      </c>
      <c r="H133" s="486">
        <f t="shared" si="21"/>
        <v>59253.755460860615</v>
      </c>
      <c r="I133" s="542">
        <f t="shared" si="22"/>
        <v>59253.755460860615</v>
      </c>
      <c r="J133" s="478">
        <f t="shared" si="24"/>
        <v>0</v>
      </c>
      <c r="K133" s="478"/>
      <c r="L133" s="487"/>
      <c r="M133" s="478">
        <f t="shared" si="25"/>
        <v>0</v>
      </c>
      <c r="N133" s="487"/>
      <c r="O133" s="478">
        <f t="shared" si="26"/>
        <v>0</v>
      </c>
      <c r="P133" s="478">
        <f t="shared" si="27"/>
        <v>0</v>
      </c>
    </row>
    <row r="134" spans="2:16">
      <c r="B134" s="160" t="str">
        <f t="shared" si="17"/>
        <v/>
      </c>
      <c r="C134" s="472">
        <f>IF(D93="","-",+C133+1)</f>
        <v>2053</v>
      </c>
      <c r="D134" s="347">
        <f>IF(F133+SUM(E$99:E133)=D$92,F133,D$92-SUM(E$99:E133))</f>
        <v>215943</v>
      </c>
      <c r="E134" s="484">
        <f t="shared" si="18"/>
        <v>32814</v>
      </c>
      <c r="F134" s="485">
        <f t="shared" si="19"/>
        <v>183129</v>
      </c>
      <c r="G134" s="485">
        <f t="shared" si="20"/>
        <v>199536</v>
      </c>
      <c r="H134" s="486">
        <f t="shared" si="21"/>
        <v>55519.75875032616</v>
      </c>
      <c r="I134" s="542">
        <f t="shared" si="22"/>
        <v>55519.75875032616</v>
      </c>
      <c r="J134" s="478">
        <f t="shared" si="24"/>
        <v>0</v>
      </c>
      <c r="K134" s="478"/>
      <c r="L134" s="487"/>
      <c r="M134" s="478">
        <f t="shared" si="25"/>
        <v>0</v>
      </c>
      <c r="N134" s="487"/>
      <c r="O134" s="478">
        <f t="shared" si="26"/>
        <v>0</v>
      </c>
      <c r="P134" s="478">
        <f t="shared" si="27"/>
        <v>0</v>
      </c>
    </row>
    <row r="135" spans="2:16">
      <c r="B135" s="160" t="str">
        <f t="shared" si="17"/>
        <v/>
      </c>
      <c r="C135" s="472">
        <f>IF(D93="","-",+C134+1)</f>
        <v>2054</v>
      </c>
      <c r="D135" s="347">
        <f>IF(F134+SUM(E$99:E134)=D$92,F134,D$92-SUM(E$99:E134))</f>
        <v>183129</v>
      </c>
      <c r="E135" s="484">
        <f t="shared" si="18"/>
        <v>32814</v>
      </c>
      <c r="F135" s="485">
        <f t="shared" si="19"/>
        <v>150315</v>
      </c>
      <c r="G135" s="485">
        <f t="shared" si="20"/>
        <v>166722</v>
      </c>
      <c r="H135" s="486">
        <f t="shared" si="21"/>
        <v>51785.762039791705</v>
      </c>
      <c r="I135" s="542">
        <f t="shared" si="22"/>
        <v>51785.762039791705</v>
      </c>
      <c r="J135" s="478">
        <f t="shared" si="24"/>
        <v>0</v>
      </c>
      <c r="K135" s="478"/>
      <c r="L135" s="487"/>
      <c r="M135" s="478">
        <f t="shared" si="25"/>
        <v>0</v>
      </c>
      <c r="N135" s="487"/>
      <c r="O135" s="478">
        <f t="shared" si="26"/>
        <v>0</v>
      </c>
      <c r="P135" s="478">
        <f t="shared" si="27"/>
        <v>0</v>
      </c>
    </row>
    <row r="136" spans="2:16">
      <c r="B136" s="160" t="str">
        <f t="shared" si="17"/>
        <v/>
      </c>
      <c r="C136" s="472">
        <f>IF(D93="","-",+C135+1)</f>
        <v>2055</v>
      </c>
      <c r="D136" s="347">
        <f>IF(F135+SUM(E$99:E135)=D$92,F135,D$92-SUM(E$99:E135))</f>
        <v>150315</v>
      </c>
      <c r="E136" s="484">
        <f t="shared" si="18"/>
        <v>32814</v>
      </c>
      <c r="F136" s="485">
        <f t="shared" si="19"/>
        <v>117501</v>
      </c>
      <c r="G136" s="485">
        <f t="shared" si="20"/>
        <v>133908</v>
      </c>
      <c r="H136" s="486">
        <f t="shared" si="21"/>
        <v>48051.765329257258</v>
      </c>
      <c r="I136" s="542">
        <f t="shared" si="22"/>
        <v>48051.765329257258</v>
      </c>
      <c r="J136" s="478">
        <f t="shared" si="24"/>
        <v>0</v>
      </c>
      <c r="K136" s="478"/>
      <c r="L136" s="487"/>
      <c r="M136" s="478">
        <f t="shared" si="25"/>
        <v>0</v>
      </c>
      <c r="N136" s="487"/>
      <c r="O136" s="478">
        <f t="shared" si="26"/>
        <v>0</v>
      </c>
      <c r="P136" s="478">
        <f t="shared" si="27"/>
        <v>0</v>
      </c>
    </row>
    <row r="137" spans="2:16">
      <c r="B137" s="160" t="str">
        <f t="shared" si="17"/>
        <v/>
      </c>
      <c r="C137" s="472">
        <f>IF(D93="","-",+C136+1)</f>
        <v>2056</v>
      </c>
      <c r="D137" s="347">
        <f>IF(F136+SUM(E$99:E136)=D$92,F136,D$92-SUM(E$99:E136))</f>
        <v>117501</v>
      </c>
      <c r="E137" s="484">
        <f t="shared" si="18"/>
        <v>32814</v>
      </c>
      <c r="F137" s="485">
        <f t="shared" si="19"/>
        <v>84687</v>
      </c>
      <c r="G137" s="485">
        <f t="shared" si="20"/>
        <v>101094</v>
      </c>
      <c r="H137" s="486">
        <f t="shared" si="21"/>
        <v>44317.768618722803</v>
      </c>
      <c r="I137" s="542">
        <f t="shared" si="22"/>
        <v>44317.768618722803</v>
      </c>
      <c r="J137" s="478">
        <f t="shared" si="24"/>
        <v>0</v>
      </c>
      <c r="K137" s="478"/>
      <c r="L137" s="487"/>
      <c r="M137" s="478">
        <f t="shared" si="25"/>
        <v>0</v>
      </c>
      <c r="N137" s="487"/>
      <c r="O137" s="478">
        <f t="shared" si="26"/>
        <v>0</v>
      </c>
      <c r="P137" s="478">
        <f t="shared" si="27"/>
        <v>0</v>
      </c>
    </row>
    <row r="138" spans="2:16">
      <c r="B138" s="160" t="str">
        <f t="shared" si="17"/>
        <v/>
      </c>
      <c r="C138" s="472">
        <f>IF(D93="","-",+C137+1)</f>
        <v>2057</v>
      </c>
      <c r="D138" s="347">
        <f>IF(F137+SUM(E$99:E137)=D$92,F137,D$92-SUM(E$99:E137))</f>
        <v>84687</v>
      </c>
      <c r="E138" s="484">
        <f t="shared" si="18"/>
        <v>32814</v>
      </c>
      <c r="F138" s="485">
        <f t="shared" si="19"/>
        <v>51873</v>
      </c>
      <c r="G138" s="485">
        <f t="shared" si="20"/>
        <v>68280</v>
      </c>
      <c r="H138" s="486">
        <f t="shared" si="21"/>
        <v>40583.771908188348</v>
      </c>
      <c r="I138" s="542">
        <f t="shared" si="22"/>
        <v>40583.771908188348</v>
      </c>
      <c r="J138" s="478">
        <f t="shared" si="24"/>
        <v>0</v>
      </c>
      <c r="K138" s="478"/>
      <c r="L138" s="487"/>
      <c r="M138" s="478">
        <f t="shared" si="25"/>
        <v>0</v>
      </c>
      <c r="N138" s="487"/>
      <c r="O138" s="478">
        <f t="shared" si="26"/>
        <v>0</v>
      </c>
      <c r="P138" s="478">
        <f t="shared" si="27"/>
        <v>0</v>
      </c>
    </row>
    <row r="139" spans="2:16">
      <c r="B139" s="160" t="str">
        <f t="shared" si="17"/>
        <v/>
      </c>
      <c r="C139" s="472">
        <f>IF(D93="","-",+C138+1)</f>
        <v>2058</v>
      </c>
      <c r="D139" s="347">
        <f>IF(F138+SUM(E$99:E138)=D$92,F138,D$92-SUM(E$99:E138))</f>
        <v>51873</v>
      </c>
      <c r="E139" s="484">
        <f t="shared" si="18"/>
        <v>32814</v>
      </c>
      <c r="F139" s="485">
        <f t="shared" si="19"/>
        <v>19059</v>
      </c>
      <c r="G139" s="485">
        <f t="shared" si="20"/>
        <v>35466</v>
      </c>
      <c r="H139" s="486">
        <f t="shared" si="21"/>
        <v>36849.775197653893</v>
      </c>
      <c r="I139" s="542">
        <f t="shared" si="22"/>
        <v>36849.775197653893</v>
      </c>
      <c r="J139" s="478">
        <f t="shared" si="24"/>
        <v>0</v>
      </c>
      <c r="K139" s="478"/>
      <c r="L139" s="487"/>
      <c r="M139" s="478">
        <f t="shared" si="25"/>
        <v>0</v>
      </c>
      <c r="N139" s="487"/>
      <c r="O139" s="478">
        <f t="shared" si="26"/>
        <v>0</v>
      </c>
      <c r="P139" s="478">
        <f t="shared" si="27"/>
        <v>0</v>
      </c>
    </row>
    <row r="140" spans="2:16">
      <c r="B140" s="160" t="str">
        <f t="shared" si="17"/>
        <v/>
      </c>
      <c r="C140" s="472">
        <f>IF(D93="","-",+C139+1)</f>
        <v>2059</v>
      </c>
      <c r="D140" s="347">
        <f>IF(F139+SUM(E$99:E139)=D$92,F139,D$92-SUM(E$99:E139))</f>
        <v>19059</v>
      </c>
      <c r="E140" s="484">
        <f t="shared" si="18"/>
        <v>19059</v>
      </c>
      <c r="F140" s="485">
        <f t="shared" si="19"/>
        <v>0</v>
      </c>
      <c r="G140" s="485">
        <f t="shared" si="20"/>
        <v>9529.5</v>
      </c>
      <c r="H140" s="486">
        <f t="shared" si="21"/>
        <v>20143.388421193333</v>
      </c>
      <c r="I140" s="542">
        <f t="shared" si="22"/>
        <v>20143.388421193333</v>
      </c>
      <c r="J140" s="478">
        <f t="shared" si="24"/>
        <v>0</v>
      </c>
      <c r="K140" s="478"/>
      <c r="L140" s="487"/>
      <c r="M140" s="478">
        <f t="shared" si="25"/>
        <v>0</v>
      </c>
      <c r="N140" s="487"/>
      <c r="O140" s="478">
        <f t="shared" si="26"/>
        <v>0</v>
      </c>
      <c r="P140" s="478">
        <f t="shared" si="27"/>
        <v>0</v>
      </c>
    </row>
    <row r="141" spans="2:16">
      <c r="B141" s="160" t="str">
        <f t="shared" si="17"/>
        <v/>
      </c>
      <c r="C141" s="472">
        <f>IF(D93="","-",+C140+1)</f>
        <v>2060</v>
      </c>
      <c r="D141" s="347">
        <f>IF(F140+SUM(E$99:E140)=D$92,F140,D$92-SUM(E$99:E140))</f>
        <v>0</v>
      </c>
      <c r="E141" s="484">
        <f t="shared" si="18"/>
        <v>0</v>
      </c>
      <c r="F141" s="485">
        <f t="shared" si="19"/>
        <v>0</v>
      </c>
      <c r="G141" s="485">
        <f t="shared" si="20"/>
        <v>0</v>
      </c>
      <c r="H141" s="486">
        <f t="shared" si="21"/>
        <v>0</v>
      </c>
      <c r="I141" s="542">
        <f t="shared" si="22"/>
        <v>0</v>
      </c>
      <c r="J141" s="478">
        <f t="shared" si="24"/>
        <v>0</v>
      </c>
      <c r="K141" s="478"/>
      <c r="L141" s="487"/>
      <c r="M141" s="478">
        <f t="shared" si="25"/>
        <v>0</v>
      </c>
      <c r="N141" s="487"/>
      <c r="O141" s="478">
        <f t="shared" si="26"/>
        <v>0</v>
      </c>
      <c r="P141" s="478">
        <f t="shared" si="27"/>
        <v>0</v>
      </c>
    </row>
    <row r="142" spans="2:16">
      <c r="B142" s="160" t="str">
        <f t="shared" si="17"/>
        <v/>
      </c>
      <c r="C142" s="472">
        <f>IF(D93="","-",+C141+1)</f>
        <v>2061</v>
      </c>
      <c r="D142" s="347">
        <f>IF(F141+SUM(E$99:E141)=D$92,F141,D$92-SUM(E$99:E141))</f>
        <v>0</v>
      </c>
      <c r="E142" s="484">
        <f t="shared" si="18"/>
        <v>0</v>
      </c>
      <c r="F142" s="485">
        <f t="shared" si="19"/>
        <v>0</v>
      </c>
      <c r="G142" s="485">
        <f t="shared" si="20"/>
        <v>0</v>
      </c>
      <c r="H142" s="486">
        <f t="shared" si="21"/>
        <v>0</v>
      </c>
      <c r="I142" s="542">
        <f t="shared" si="22"/>
        <v>0</v>
      </c>
      <c r="J142" s="478">
        <f t="shared" si="24"/>
        <v>0</v>
      </c>
      <c r="K142" s="478"/>
      <c r="L142" s="487"/>
      <c r="M142" s="478">
        <f t="shared" si="25"/>
        <v>0</v>
      </c>
      <c r="N142" s="487"/>
      <c r="O142" s="478">
        <f t="shared" si="26"/>
        <v>0</v>
      </c>
      <c r="P142" s="478">
        <f t="shared" si="27"/>
        <v>0</v>
      </c>
    </row>
    <row r="143" spans="2:16">
      <c r="B143" s="160" t="str">
        <f t="shared" si="17"/>
        <v/>
      </c>
      <c r="C143" s="472">
        <f>IF(D93="","-",+C142+1)</f>
        <v>2062</v>
      </c>
      <c r="D143" s="347">
        <f>IF(F142+SUM(E$99:E142)=D$92,F142,D$92-SUM(E$99:E142))</f>
        <v>0</v>
      </c>
      <c r="E143" s="484">
        <f t="shared" si="18"/>
        <v>0</v>
      </c>
      <c r="F143" s="485">
        <f t="shared" si="19"/>
        <v>0</v>
      </c>
      <c r="G143" s="485">
        <f t="shared" si="20"/>
        <v>0</v>
      </c>
      <c r="H143" s="486">
        <f t="shared" si="21"/>
        <v>0</v>
      </c>
      <c r="I143" s="542">
        <f t="shared" si="22"/>
        <v>0</v>
      </c>
      <c r="J143" s="478">
        <f t="shared" si="24"/>
        <v>0</v>
      </c>
      <c r="K143" s="478"/>
      <c r="L143" s="487"/>
      <c r="M143" s="478">
        <f t="shared" si="25"/>
        <v>0</v>
      </c>
      <c r="N143" s="487"/>
      <c r="O143" s="478">
        <f t="shared" si="26"/>
        <v>0</v>
      </c>
      <c r="P143" s="478">
        <f t="shared" si="27"/>
        <v>0</v>
      </c>
    </row>
    <row r="144" spans="2:16">
      <c r="B144" s="160" t="str">
        <f t="shared" si="17"/>
        <v/>
      </c>
      <c r="C144" s="472">
        <f>IF(D93="","-",+C143+1)</f>
        <v>2063</v>
      </c>
      <c r="D144" s="347">
        <f>IF(F143+SUM(E$99:E143)=D$92,F143,D$92-SUM(E$99:E143))</f>
        <v>0</v>
      </c>
      <c r="E144" s="484">
        <f t="shared" si="18"/>
        <v>0</v>
      </c>
      <c r="F144" s="485">
        <f t="shared" si="19"/>
        <v>0</v>
      </c>
      <c r="G144" s="485">
        <f t="shared" si="20"/>
        <v>0</v>
      </c>
      <c r="H144" s="486">
        <f t="shared" si="21"/>
        <v>0</v>
      </c>
      <c r="I144" s="542">
        <f t="shared" si="22"/>
        <v>0</v>
      </c>
      <c r="J144" s="478">
        <f t="shared" si="24"/>
        <v>0</v>
      </c>
      <c r="K144" s="478"/>
      <c r="L144" s="487"/>
      <c r="M144" s="478">
        <f t="shared" si="25"/>
        <v>0</v>
      </c>
      <c r="N144" s="487"/>
      <c r="O144" s="478">
        <f t="shared" si="26"/>
        <v>0</v>
      </c>
      <c r="P144" s="478">
        <f t="shared" si="27"/>
        <v>0</v>
      </c>
    </row>
    <row r="145" spans="2:16">
      <c r="B145" s="160" t="str">
        <f t="shared" si="17"/>
        <v/>
      </c>
      <c r="C145" s="472">
        <f>IF(D93="","-",+C144+1)</f>
        <v>2064</v>
      </c>
      <c r="D145" s="347">
        <f>IF(F144+SUM(E$99:E144)=D$92,F144,D$92-SUM(E$99:E144))</f>
        <v>0</v>
      </c>
      <c r="E145" s="484">
        <f t="shared" si="18"/>
        <v>0</v>
      </c>
      <c r="F145" s="485">
        <f t="shared" si="19"/>
        <v>0</v>
      </c>
      <c r="G145" s="485">
        <f t="shared" si="20"/>
        <v>0</v>
      </c>
      <c r="H145" s="486">
        <f t="shared" si="21"/>
        <v>0</v>
      </c>
      <c r="I145" s="542">
        <f t="shared" si="22"/>
        <v>0</v>
      </c>
      <c r="J145" s="478">
        <f t="shared" si="24"/>
        <v>0</v>
      </c>
      <c r="K145" s="478"/>
      <c r="L145" s="487"/>
      <c r="M145" s="478">
        <f t="shared" si="25"/>
        <v>0</v>
      </c>
      <c r="N145" s="487"/>
      <c r="O145" s="478">
        <f t="shared" si="26"/>
        <v>0</v>
      </c>
      <c r="P145" s="478">
        <f t="shared" si="27"/>
        <v>0</v>
      </c>
    </row>
    <row r="146" spans="2:16">
      <c r="B146" s="160" t="str">
        <f t="shared" si="17"/>
        <v/>
      </c>
      <c r="C146" s="472">
        <f>IF(D93="","-",+C145+1)</f>
        <v>2065</v>
      </c>
      <c r="D146" s="347">
        <f>IF(F145+SUM(E$99:E145)=D$92,F145,D$92-SUM(E$99:E145))</f>
        <v>0</v>
      </c>
      <c r="E146" s="484">
        <f t="shared" si="18"/>
        <v>0</v>
      </c>
      <c r="F146" s="485">
        <f t="shared" si="19"/>
        <v>0</v>
      </c>
      <c r="G146" s="485">
        <f t="shared" si="20"/>
        <v>0</v>
      </c>
      <c r="H146" s="486">
        <f t="shared" si="21"/>
        <v>0</v>
      </c>
      <c r="I146" s="542">
        <f t="shared" si="22"/>
        <v>0</v>
      </c>
      <c r="J146" s="478">
        <f t="shared" si="24"/>
        <v>0</v>
      </c>
      <c r="K146" s="478"/>
      <c r="L146" s="487"/>
      <c r="M146" s="478">
        <f t="shared" si="25"/>
        <v>0</v>
      </c>
      <c r="N146" s="487"/>
      <c r="O146" s="478">
        <f t="shared" si="26"/>
        <v>0</v>
      </c>
      <c r="P146" s="478">
        <f t="shared" si="27"/>
        <v>0</v>
      </c>
    </row>
    <row r="147" spans="2:16">
      <c r="B147" s="160" t="str">
        <f t="shared" si="17"/>
        <v/>
      </c>
      <c r="C147" s="472">
        <f>IF(D93="","-",+C146+1)</f>
        <v>2066</v>
      </c>
      <c r="D147" s="347">
        <f>IF(F146+SUM(E$99:E146)=D$92,F146,D$92-SUM(E$99:E146))</f>
        <v>0</v>
      </c>
      <c r="E147" s="484">
        <f t="shared" si="18"/>
        <v>0</v>
      </c>
      <c r="F147" s="485">
        <f t="shared" si="19"/>
        <v>0</v>
      </c>
      <c r="G147" s="485">
        <f t="shared" si="20"/>
        <v>0</v>
      </c>
      <c r="H147" s="486">
        <f t="shared" si="21"/>
        <v>0</v>
      </c>
      <c r="I147" s="542">
        <f t="shared" si="22"/>
        <v>0</v>
      </c>
      <c r="J147" s="478">
        <f t="shared" si="24"/>
        <v>0</v>
      </c>
      <c r="K147" s="478"/>
      <c r="L147" s="487"/>
      <c r="M147" s="478">
        <f t="shared" si="25"/>
        <v>0</v>
      </c>
      <c r="N147" s="487"/>
      <c r="O147" s="478">
        <f t="shared" si="26"/>
        <v>0</v>
      </c>
      <c r="P147" s="478">
        <f t="shared" si="27"/>
        <v>0</v>
      </c>
    </row>
    <row r="148" spans="2:16">
      <c r="B148" s="160" t="str">
        <f t="shared" si="17"/>
        <v/>
      </c>
      <c r="C148" s="472">
        <f>IF(D93="","-",+C147+1)</f>
        <v>2067</v>
      </c>
      <c r="D148" s="347">
        <f>IF(F147+SUM(E$99:E147)=D$92,F147,D$92-SUM(E$99:E147))</f>
        <v>0</v>
      </c>
      <c r="E148" s="484">
        <f t="shared" si="18"/>
        <v>0</v>
      </c>
      <c r="F148" s="485">
        <f t="shared" si="19"/>
        <v>0</v>
      </c>
      <c r="G148" s="485">
        <f t="shared" si="20"/>
        <v>0</v>
      </c>
      <c r="H148" s="486">
        <f t="shared" si="21"/>
        <v>0</v>
      </c>
      <c r="I148" s="542">
        <f t="shared" si="22"/>
        <v>0</v>
      </c>
      <c r="J148" s="478">
        <f t="shared" si="24"/>
        <v>0</v>
      </c>
      <c r="K148" s="478"/>
      <c r="L148" s="487"/>
      <c r="M148" s="478">
        <f t="shared" si="25"/>
        <v>0</v>
      </c>
      <c r="N148" s="487"/>
      <c r="O148" s="478">
        <f t="shared" si="26"/>
        <v>0</v>
      </c>
      <c r="P148" s="478">
        <f t="shared" si="27"/>
        <v>0</v>
      </c>
    </row>
    <row r="149" spans="2:16">
      <c r="B149" s="160" t="str">
        <f t="shared" si="17"/>
        <v/>
      </c>
      <c r="C149" s="472">
        <f>IF(D93="","-",+C148+1)</f>
        <v>2068</v>
      </c>
      <c r="D149" s="347">
        <f>IF(F148+SUM(E$99:E148)=D$92,F148,D$92-SUM(E$99:E148))</f>
        <v>0</v>
      </c>
      <c r="E149" s="484">
        <f t="shared" si="18"/>
        <v>0</v>
      </c>
      <c r="F149" s="485">
        <f t="shared" si="19"/>
        <v>0</v>
      </c>
      <c r="G149" s="485">
        <f t="shared" si="20"/>
        <v>0</v>
      </c>
      <c r="H149" s="486">
        <f t="shared" si="21"/>
        <v>0</v>
      </c>
      <c r="I149" s="542">
        <f t="shared" si="22"/>
        <v>0</v>
      </c>
      <c r="J149" s="478">
        <f t="shared" si="24"/>
        <v>0</v>
      </c>
      <c r="K149" s="478"/>
      <c r="L149" s="487"/>
      <c r="M149" s="478">
        <f t="shared" si="25"/>
        <v>0</v>
      </c>
      <c r="N149" s="487"/>
      <c r="O149" s="478">
        <f t="shared" si="26"/>
        <v>0</v>
      </c>
      <c r="P149" s="478">
        <f t="shared" si="27"/>
        <v>0</v>
      </c>
    </row>
    <row r="150" spans="2:16">
      <c r="B150" s="160" t="str">
        <f t="shared" si="17"/>
        <v/>
      </c>
      <c r="C150" s="472">
        <f>IF(D93="","-",+C149+1)</f>
        <v>2069</v>
      </c>
      <c r="D150" s="347">
        <f>IF(F149+SUM(E$99:E149)=D$92,F149,D$92-SUM(E$99:E149))</f>
        <v>0</v>
      </c>
      <c r="E150" s="484">
        <f t="shared" si="18"/>
        <v>0</v>
      </c>
      <c r="F150" s="485">
        <f t="shared" si="19"/>
        <v>0</v>
      </c>
      <c r="G150" s="485">
        <f t="shared" si="20"/>
        <v>0</v>
      </c>
      <c r="H150" s="486">
        <f t="shared" si="21"/>
        <v>0</v>
      </c>
      <c r="I150" s="542">
        <f t="shared" si="22"/>
        <v>0</v>
      </c>
      <c r="J150" s="478">
        <f t="shared" si="24"/>
        <v>0</v>
      </c>
      <c r="K150" s="478"/>
      <c r="L150" s="487"/>
      <c r="M150" s="478">
        <f t="shared" si="25"/>
        <v>0</v>
      </c>
      <c r="N150" s="487"/>
      <c r="O150" s="478">
        <f t="shared" si="26"/>
        <v>0</v>
      </c>
      <c r="P150" s="478">
        <f t="shared" si="27"/>
        <v>0</v>
      </c>
    </row>
    <row r="151" spans="2:16">
      <c r="B151" s="160" t="str">
        <f t="shared" si="17"/>
        <v/>
      </c>
      <c r="C151" s="472">
        <f>IF(D93="","-",+C150+1)</f>
        <v>2070</v>
      </c>
      <c r="D151" s="347">
        <f>IF(F150+SUM(E$99:E150)=D$92,F150,D$92-SUM(E$99:E150))</f>
        <v>0</v>
      </c>
      <c r="E151" s="484">
        <f t="shared" si="18"/>
        <v>0</v>
      </c>
      <c r="F151" s="485">
        <f t="shared" si="19"/>
        <v>0</v>
      </c>
      <c r="G151" s="485">
        <f t="shared" si="20"/>
        <v>0</v>
      </c>
      <c r="H151" s="486">
        <f t="shared" si="21"/>
        <v>0</v>
      </c>
      <c r="I151" s="542">
        <f t="shared" si="22"/>
        <v>0</v>
      </c>
      <c r="J151" s="478">
        <f t="shared" si="24"/>
        <v>0</v>
      </c>
      <c r="K151" s="478"/>
      <c r="L151" s="487"/>
      <c r="M151" s="478">
        <f t="shared" si="25"/>
        <v>0</v>
      </c>
      <c r="N151" s="487"/>
      <c r="O151" s="478">
        <f t="shared" si="26"/>
        <v>0</v>
      </c>
      <c r="P151" s="478">
        <f t="shared" si="27"/>
        <v>0</v>
      </c>
    </row>
    <row r="152" spans="2:16">
      <c r="B152" s="160" t="str">
        <f t="shared" si="17"/>
        <v/>
      </c>
      <c r="C152" s="472">
        <f>IF(D93="","-",+C151+1)</f>
        <v>2071</v>
      </c>
      <c r="D152" s="347">
        <f>IF(F151+SUM(E$99:E151)=D$92,F151,D$92-SUM(E$99:E151))</f>
        <v>0</v>
      </c>
      <c r="E152" s="484">
        <f t="shared" si="18"/>
        <v>0</v>
      </c>
      <c r="F152" s="485">
        <f t="shared" si="19"/>
        <v>0</v>
      </c>
      <c r="G152" s="485">
        <f t="shared" si="20"/>
        <v>0</v>
      </c>
      <c r="H152" s="486">
        <f t="shared" si="21"/>
        <v>0</v>
      </c>
      <c r="I152" s="542">
        <f t="shared" si="22"/>
        <v>0</v>
      </c>
      <c r="J152" s="478">
        <f t="shared" si="24"/>
        <v>0</v>
      </c>
      <c r="K152" s="478"/>
      <c r="L152" s="487"/>
      <c r="M152" s="478">
        <f t="shared" si="25"/>
        <v>0</v>
      </c>
      <c r="N152" s="487"/>
      <c r="O152" s="478">
        <f t="shared" si="26"/>
        <v>0</v>
      </c>
      <c r="P152" s="478">
        <f t="shared" si="27"/>
        <v>0</v>
      </c>
    </row>
    <row r="153" spans="2:16">
      <c r="B153" s="160" t="str">
        <f t="shared" si="17"/>
        <v/>
      </c>
      <c r="C153" s="472">
        <f>IF(D93="","-",+C152+1)</f>
        <v>2072</v>
      </c>
      <c r="D153" s="347">
        <f>IF(F152+SUM(E$99:E152)=D$92,F152,D$92-SUM(E$99:E152))</f>
        <v>0</v>
      </c>
      <c r="E153" s="484">
        <f t="shared" si="18"/>
        <v>0</v>
      </c>
      <c r="F153" s="485">
        <f t="shared" si="19"/>
        <v>0</v>
      </c>
      <c r="G153" s="485">
        <f t="shared" si="20"/>
        <v>0</v>
      </c>
      <c r="H153" s="486">
        <f t="shared" si="21"/>
        <v>0</v>
      </c>
      <c r="I153" s="542">
        <f t="shared" si="22"/>
        <v>0</v>
      </c>
      <c r="J153" s="478">
        <f t="shared" si="24"/>
        <v>0</v>
      </c>
      <c r="K153" s="478"/>
      <c r="L153" s="487"/>
      <c r="M153" s="478">
        <f t="shared" si="25"/>
        <v>0</v>
      </c>
      <c r="N153" s="487"/>
      <c r="O153" s="478">
        <f t="shared" si="26"/>
        <v>0</v>
      </c>
      <c r="P153" s="478">
        <f t="shared" si="27"/>
        <v>0</v>
      </c>
    </row>
    <row r="154" spans="2:16" ht="13.5" thickBot="1">
      <c r="B154" s="160" t="str">
        <f t="shared" si="17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18"/>
        <v>0</v>
      </c>
      <c r="F154" s="490">
        <f t="shared" si="19"/>
        <v>0</v>
      </c>
      <c r="G154" s="490">
        <f t="shared" si="20"/>
        <v>0</v>
      </c>
      <c r="H154" s="613">
        <f t="shared" ref="H154" si="28">+J$94*G154+E154</f>
        <v>0</v>
      </c>
      <c r="I154" s="614">
        <f t="shared" ref="I154" si="29">+J$95*G154+E154</f>
        <v>0</v>
      </c>
      <c r="J154" s="495">
        <f t="shared" si="24"/>
        <v>0</v>
      </c>
      <c r="K154" s="478"/>
      <c r="L154" s="494"/>
      <c r="M154" s="495">
        <f t="shared" si="25"/>
        <v>0</v>
      </c>
      <c r="N154" s="494"/>
      <c r="O154" s="495">
        <f t="shared" si="26"/>
        <v>0</v>
      </c>
      <c r="P154" s="495">
        <f t="shared" si="27"/>
        <v>0</v>
      </c>
    </row>
    <row r="155" spans="2:16">
      <c r="C155" s="347" t="s">
        <v>77</v>
      </c>
      <c r="D155" s="348"/>
      <c r="E155" s="348">
        <f>SUM(E99:E154)</f>
        <v>1345383</v>
      </c>
      <c r="F155" s="348"/>
      <c r="G155" s="348"/>
      <c r="H155" s="348">
        <f>SUM(H99:H154)</f>
        <v>4474815.0661841426</v>
      </c>
      <c r="I155" s="348">
        <f>SUM(I99:I154)</f>
        <v>4474815.0661841426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13" priority="1" stopIfTrue="1" operator="equal">
      <formula>$I$10</formula>
    </cfRule>
  </conditionalFormatting>
  <conditionalFormatting sqref="C99:C154">
    <cfRule type="cellIs" dxfId="1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162"/>
  <sheetViews>
    <sheetView zoomScale="85" zoomScaleNormal="85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25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34223.924690152948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34223.924690152948</v>
      </c>
      <c r="O6" s="233"/>
      <c r="P6" s="233"/>
    </row>
    <row r="7" spans="1:16" ht="13.5" thickBot="1">
      <c r="C7" s="431" t="s">
        <v>46</v>
      </c>
      <c r="D7" s="599" t="s">
        <v>323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324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288860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6717.6744186046508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2018</v>
      </c>
      <c r="D17" s="584">
        <v>0</v>
      </c>
      <c r="E17" s="608">
        <v>11600</v>
      </c>
      <c r="F17" s="584">
        <v>1032400</v>
      </c>
      <c r="G17" s="608">
        <v>81460.13871045578</v>
      </c>
      <c r="H17" s="587">
        <v>81460.13871045578</v>
      </c>
      <c r="I17" s="475">
        <f>H17-G17</f>
        <v>0</v>
      </c>
      <c r="J17" s="475"/>
      <c r="K17" s="554">
        <f>+G17</f>
        <v>81460.13871045578</v>
      </c>
      <c r="L17" s="477">
        <f t="shared" ref="L17:L72" si="0">IF(K17&lt;&gt;0,+G17-K17,0)</f>
        <v>0</v>
      </c>
      <c r="M17" s="554">
        <f>+H17</f>
        <v>81460.13871045578</v>
      </c>
      <c r="N17" s="477">
        <f t="shared" ref="N17:N72" si="1">IF(M17&lt;&gt;0,+H17-M17,0)</f>
        <v>0</v>
      </c>
      <c r="O17" s="478">
        <f t="shared" ref="O17:O72" si="2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2019</v>
      </c>
      <c r="D18" s="584">
        <v>1032400</v>
      </c>
      <c r="E18" s="585">
        <v>23200</v>
      </c>
      <c r="F18" s="584">
        <v>1009200</v>
      </c>
      <c r="G18" s="585">
        <v>161350.38666337324</v>
      </c>
      <c r="H18" s="587">
        <v>161350.38666337324</v>
      </c>
      <c r="I18" s="475">
        <f>H18-G18</f>
        <v>0</v>
      </c>
      <c r="J18" s="475"/>
      <c r="K18" s="478">
        <f>+G18</f>
        <v>161350.38666337324</v>
      </c>
      <c r="L18" s="478">
        <f t="shared" si="0"/>
        <v>0</v>
      </c>
      <c r="M18" s="478">
        <f>+H18</f>
        <v>161350.38666337324</v>
      </c>
      <c r="N18" s="478">
        <f t="shared" si="1"/>
        <v>0</v>
      </c>
      <c r="O18" s="478">
        <f t="shared" si="2"/>
        <v>0</v>
      </c>
      <c r="P18" s="243"/>
    </row>
    <row r="19" spans="2:16">
      <c r="B19" s="160" t="str">
        <f>IF(D19=F18,"","IU")</f>
        <v>IU</v>
      </c>
      <c r="C19" s="472">
        <f>IF(D11="","-",+C18+1)</f>
        <v>2020</v>
      </c>
      <c r="D19" s="584">
        <v>267280</v>
      </c>
      <c r="E19" s="585">
        <v>7192.3809523809523</v>
      </c>
      <c r="F19" s="584">
        <v>260087.61904761905</v>
      </c>
      <c r="G19" s="585">
        <v>35671.491974766584</v>
      </c>
      <c r="H19" s="587">
        <v>35671.491974766584</v>
      </c>
      <c r="I19" s="475">
        <f t="shared" ref="I19:I71" si="3">H19-G19</f>
        <v>0</v>
      </c>
      <c r="J19" s="475"/>
      <c r="K19" s="478">
        <f>+G19</f>
        <v>35671.491974766584</v>
      </c>
      <c r="L19" s="478">
        <f t="shared" ref="L19" si="4">IF(K19&lt;&gt;0,+G19-K19,0)</f>
        <v>0</v>
      </c>
      <c r="M19" s="478">
        <f>+H19</f>
        <v>35671.491974766584</v>
      </c>
      <c r="N19" s="478">
        <f t="shared" si="1"/>
        <v>0</v>
      </c>
      <c r="O19" s="478">
        <f t="shared" si="2"/>
        <v>0</v>
      </c>
      <c r="P19" s="243"/>
    </row>
    <row r="20" spans="2:16">
      <c r="B20" s="160" t="str">
        <f t="shared" ref="B20:B72" si="5">IF(D20=F19,"","IU")</f>
        <v>IU</v>
      </c>
      <c r="C20" s="472">
        <f>IF(D11="","-",+C19+1)</f>
        <v>2021</v>
      </c>
      <c r="D20" s="584">
        <v>258467.61904761905</v>
      </c>
      <c r="E20" s="585">
        <v>6717.6744186046508</v>
      </c>
      <c r="F20" s="584">
        <v>251749.94462901441</v>
      </c>
      <c r="G20" s="585">
        <v>34223.924690152948</v>
      </c>
      <c r="H20" s="587">
        <v>34223.924690152948</v>
      </c>
      <c r="I20" s="475">
        <f t="shared" si="3"/>
        <v>0</v>
      </c>
      <c r="J20" s="475"/>
      <c r="K20" s="478">
        <f>+G20</f>
        <v>34223.924690152948</v>
      </c>
      <c r="L20" s="478">
        <f t="shared" ref="L20" si="6">IF(K20&lt;&gt;0,+G20-K20,0)</f>
        <v>0</v>
      </c>
      <c r="M20" s="478">
        <f>+H20</f>
        <v>34223.924690152948</v>
      </c>
      <c r="N20" s="478">
        <f t="shared" si="1"/>
        <v>0</v>
      </c>
      <c r="O20" s="478">
        <f t="shared" si="2"/>
        <v>0</v>
      </c>
      <c r="P20" s="243"/>
    </row>
    <row r="21" spans="2:16">
      <c r="B21" s="160" t="str">
        <f t="shared" si="5"/>
        <v>IU</v>
      </c>
      <c r="C21" s="472">
        <f>IF(D11="","-",+C20+1)</f>
        <v>2022</v>
      </c>
      <c r="D21" s="483">
        <f>IF(F20+SUM(E$17:E20)=D$10,F20,D$10-SUM(E$17:E20))</f>
        <v>240149.94462901441</v>
      </c>
      <c r="E21" s="484">
        <f t="shared" ref="E21:E71" si="7">IF(+I$14&lt;F20,I$14,D21)</f>
        <v>6717.6744186046508</v>
      </c>
      <c r="F21" s="485">
        <f t="shared" ref="F21:F71" si="8">+D21-E21</f>
        <v>233432.27021040977</v>
      </c>
      <c r="G21" s="486">
        <f t="shared" ref="G21:G71" si="9">(D21+F21)/2*I$12+E21</f>
        <v>33961.991459720448</v>
      </c>
      <c r="H21" s="455">
        <f t="shared" ref="H21:H71" si="10">+(D21+F21)/2*I$13+E21</f>
        <v>33961.991459720448</v>
      </c>
      <c r="I21" s="475">
        <f t="shared" si="3"/>
        <v>0</v>
      </c>
      <c r="J21" s="475"/>
      <c r="K21" s="487"/>
      <c r="L21" s="478">
        <f t="shared" si="0"/>
        <v>0</v>
      </c>
      <c r="M21" s="487"/>
      <c r="N21" s="478">
        <f t="shared" si="1"/>
        <v>0</v>
      </c>
      <c r="O21" s="478">
        <f t="shared" si="2"/>
        <v>0</v>
      </c>
      <c r="P21" s="243"/>
    </row>
    <row r="22" spans="2:16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233432.27021040977</v>
      </c>
      <c r="E22" s="484">
        <f t="shared" si="7"/>
        <v>6717.6744186046508</v>
      </c>
      <c r="F22" s="485">
        <f t="shared" si="8"/>
        <v>226714.59579180513</v>
      </c>
      <c r="G22" s="486">
        <f t="shared" si="9"/>
        <v>33189.080459667312</v>
      </c>
      <c r="H22" s="455">
        <f t="shared" si="10"/>
        <v>33189.080459667312</v>
      </c>
      <c r="I22" s="475">
        <f t="shared" si="3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3"/>
    </row>
    <row r="23" spans="2:16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226714.59579180513</v>
      </c>
      <c r="E23" s="484">
        <f t="shared" si="7"/>
        <v>6717.6744186046508</v>
      </c>
      <c r="F23" s="485">
        <f t="shared" si="8"/>
        <v>219996.92137320049</v>
      </c>
      <c r="G23" s="486">
        <f t="shared" si="9"/>
        <v>32416.169459614182</v>
      </c>
      <c r="H23" s="455">
        <f t="shared" si="10"/>
        <v>32416.169459614182</v>
      </c>
      <c r="I23" s="475">
        <f t="shared" si="3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3"/>
    </row>
    <row r="24" spans="2:16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219996.92137320049</v>
      </c>
      <c r="E24" s="484">
        <f t="shared" si="7"/>
        <v>6717.6744186046508</v>
      </c>
      <c r="F24" s="485">
        <f t="shared" si="8"/>
        <v>213279.24695459584</v>
      </c>
      <c r="G24" s="486">
        <f t="shared" si="9"/>
        <v>31643.258459561053</v>
      </c>
      <c r="H24" s="455">
        <f t="shared" si="10"/>
        <v>31643.258459561053</v>
      </c>
      <c r="I24" s="475">
        <f t="shared" si="3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3"/>
    </row>
    <row r="25" spans="2:16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213279.24695459584</v>
      </c>
      <c r="E25" s="484">
        <f t="shared" si="7"/>
        <v>6717.6744186046508</v>
      </c>
      <c r="F25" s="485">
        <f t="shared" si="8"/>
        <v>206561.5725359912</v>
      </c>
      <c r="G25" s="486">
        <f t="shared" si="9"/>
        <v>30870.347459507917</v>
      </c>
      <c r="H25" s="455">
        <f t="shared" si="10"/>
        <v>30870.347459507917</v>
      </c>
      <c r="I25" s="475">
        <f t="shared" si="3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3"/>
    </row>
    <row r="26" spans="2:16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206561.5725359912</v>
      </c>
      <c r="E26" s="484">
        <f t="shared" si="7"/>
        <v>6717.6744186046508</v>
      </c>
      <c r="F26" s="485">
        <f t="shared" si="8"/>
        <v>199843.89811738656</v>
      </c>
      <c r="G26" s="486">
        <f t="shared" si="9"/>
        <v>30097.436459454788</v>
      </c>
      <c r="H26" s="455">
        <f t="shared" si="10"/>
        <v>30097.436459454788</v>
      </c>
      <c r="I26" s="475">
        <f t="shared" si="3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3"/>
    </row>
    <row r="27" spans="2:16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199843.89811738656</v>
      </c>
      <c r="E27" s="484">
        <f t="shared" si="7"/>
        <v>6717.6744186046508</v>
      </c>
      <c r="F27" s="485">
        <f t="shared" si="8"/>
        <v>193126.22369878192</v>
      </c>
      <c r="G27" s="486">
        <f t="shared" si="9"/>
        <v>29324.525459401659</v>
      </c>
      <c r="H27" s="455">
        <f t="shared" si="10"/>
        <v>29324.525459401659</v>
      </c>
      <c r="I27" s="475">
        <f t="shared" si="3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3"/>
    </row>
    <row r="28" spans="2:16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193126.22369878192</v>
      </c>
      <c r="E28" s="484">
        <f t="shared" si="7"/>
        <v>6717.6744186046508</v>
      </c>
      <c r="F28" s="485">
        <f t="shared" si="8"/>
        <v>186408.54928017728</v>
      </c>
      <c r="G28" s="486">
        <f t="shared" si="9"/>
        <v>28551.61445934853</v>
      </c>
      <c r="H28" s="455">
        <f t="shared" si="10"/>
        <v>28551.61445934853</v>
      </c>
      <c r="I28" s="475">
        <f t="shared" si="3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3"/>
    </row>
    <row r="29" spans="2:16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186408.54928017728</v>
      </c>
      <c r="E29" s="484">
        <f t="shared" si="7"/>
        <v>6717.6744186046508</v>
      </c>
      <c r="F29" s="485">
        <f t="shared" si="8"/>
        <v>179690.87486157264</v>
      </c>
      <c r="G29" s="486">
        <f t="shared" si="9"/>
        <v>27778.703459295393</v>
      </c>
      <c r="H29" s="455">
        <f t="shared" si="10"/>
        <v>27778.703459295393</v>
      </c>
      <c r="I29" s="475">
        <f t="shared" si="3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3"/>
    </row>
    <row r="30" spans="2:16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179690.87486157264</v>
      </c>
      <c r="E30" s="484">
        <f t="shared" si="7"/>
        <v>6717.6744186046508</v>
      </c>
      <c r="F30" s="485">
        <f t="shared" si="8"/>
        <v>172973.20044296799</v>
      </c>
      <c r="G30" s="486">
        <f t="shared" si="9"/>
        <v>27005.792459242264</v>
      </c>
      <c r="H30" s="455">
        <f t="shared" si="10"/>
        <v>27005.792459242264</v>
      </c>
      <c r="I30" s="475">
        <f t="shared" si="3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3"/>
    </row>
    <row r="31" spans="2:16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172973.20044296799</v>
      </c>
      <c r="E31" s="484">
        <f t="shared" si="7"/>
        <v>6717.6744186046508</v>
      </c>
      <c r="F31" s="485">
        <f t="shared" si="8"/>
        <v>166255.52602436335</v>
      </c>
      <c r="G31" s="486">
        <f t="shared" si="9"/>
        <v>26232.881459189135</v>
      </c>
      <c r="H31" s="455">
        <f t="shared" si="10"/>
        <v>26232.881459189135</v>
      </c>
      <c r="I31" s="475">
        <f t="shared" si="3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3"/>
    </row>
    <row r="32" spans="2:16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166255.52602436335</v>
      </c>
      <c r="E32" s="484">
        <f t="shared" si="7"/>
        <v>6717.6744186046508</v>
      </c>
      <c r="F32" s="485">
        <f t="shared" si="8"/>
        <v>159537.85160575871</v>
      </c>
      <c r="G32" s="486">
        <f t="shared" si="9"/>
        <v>25459.970459135999</v>
      </c>
      <c r="H32" s="455">
        <f t="shared" si="10"/>
        <v>25459.970459135999</v>
      </c>
      <c r="I32" s="475">
        <f t="shared" si="3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3"/>
    </row>
    <row r="33" spans="2:16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159537.85160575871</v>
      </c>
      <c r="E33" s="484">
        <f t="shared" si="7"/>
        <v>6717.6744186046508</v>
      </c>
      <c r="F33" s="485">
        <f t="shared" si="8"/>
        <v>152820.17718715407</v>
      </c>
      <c r="G33" s="486">
        <f t="shared" si="9"/>
        <v>24687.05945908287</v>
      </c>
      <c r="H33" s="455">
        <f t="shared" si="10"/>
        <v>24687.05945908287</v>
      </c>
      <c r="I33" s="475">
        <f t="shared" si="3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3"/>
    </row>
    <row r="34" spans="2:16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152820.17718715407</v>
      </c>
      <c r="E34" s="484">
        <f t="shared" si="7"/>
        <v>6717.6744186046508</v>
      </c>
      <c r="F34" s="485">
        <f t="shared" si="8"/>
        <v>146102.50276854943</v>
      </c>
      <c r="G34" s="486">
        <f t="shared" si="9"/>
        <v>23914.14845902974</v>
      </c>
      <c r="H34" s="455">
        <f t="shared" si="10"/>
        <v>23914.14845902974</v>
      </c>
      <c r="I34" s="475">
        <f t="shared" si="3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3"/>
    </row>
    <row r="35" spans="2:16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146102.50276854943</v>
      </c>
      <c r="E35" s="484">
        <f t="shared" si="7"/>
        <v>6717.6744186046508</v>
      </c>
      <c r="F35" s="485">
        <f t="shared" si="8"/>
        <v>139384.82834994479</v>
      </c>
      <c r="G35" s="486">
        <f t="shared" si="9"/>
        <v>23141.237458976611</v>
      </c>
      <c r="H35" s="455">
        <f t="shared" si="10"/>
        <v>23141.237458976611</v>
      </c>
      <c r="I35" s="475">
        <f t="shared" si="3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3"/>
    </row>
    <row r="36" spans="2:16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139384.82834994479</v>
      </c>
      <c r="E36" s="484">
        <f t="shared" si="7"/>
        <v>6717.6744186046508</v>
      </c>
      <c r="F36" s="485">
        <f t="shared" si="8"/>
        <v>132667.15393134014</v>
      </c>
      <c r="G36" s="486">
        <f t="shared" si="9"/>
        <v>22368.326458923475</v>
      </c>
      <c r="H36" s="455">
        <f t="shared" si="10"/>
        <v>22368.326458923475</v>
      </c>
      <c r="I36" s="475">
        <f t="shared" si="3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3"/>
    </row>
    <row r="37" spans="2:16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132667.15393134014</v>
      </c>
      <c r="E37" s="484">
        <f t="shared" si="7"/>
        <v>6717.6744186046508</v>
      </c>
      <c r="F37" s="485">
        <f t="shared" si="8"/>
        <v>125949.47951273549</v>
      </c>
      <c r="G37" s="486">
        <f t="shared" si="9"/>
        <v>21595.415458870346</v>
      </c>
      <c r="H37" s="455">
        <f t="shared" si="10"/>
        <v>21595.415458870346</v>
      </c>
      <c r="I37" s="475">
        <f t="shared" si="3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3"/>
    </row>
    <row r="38" spans="2:16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125949.47951273549</v>
      </c>
      <c r="E38" s="484">
        <f t="shared" si="7"/>
        <v>6717.6744186046508</v>
      </c>
      <c r="F38" s="485">
        <f t="shared" si="8"/>
        <v>119231.80509413083</v>
      </c>
      <c r="G38" s="486">
        <f t="shared" si="9"/>
        <v>20822.50445881721</v>
      </c>
      <c r="H38" s="455">
        <f t="shared" si="10"/>
        <v>20822.50445881721</v>
      </c>
      <c r="I38" s="475">
        <f t="shared" si="3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3"/>
    </row>
    <row r="39" spans="2:16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119231.80509413083</v>
      </c>
      <c r="E39" s="484">
        <f t="shared" si="7"/>
        <v>6717.6744186046508</v>
      </c>
      <c r="F39" s="485">
        <f t="shared" si="8"/>
        <v>112514.13067552618</v>
      </c>
      <c r="G39" s="486">
        <f t="shared" si="9"/>
        <v>20049.59345876408</v>
      </c>
      <c r="H39" s="455">
        <f t="shared" si="10"/>
        <v>20049.59345876408</v>
      </c>
      <c r="I39" s="475">
        <f t="shared" si="3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3"/>
    </row>
    <row r="40" spans="2:16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112514.13067552618</v>
      </c>
      <c r="E40" s="484">
        <f t="shared" si="7"/>
        <v>6717.6744186046508</v>
      </c>
      <c r="F40" s="485">
        <f t="shared" si="8"/>
        <v>105796.45625692152</v>
      </c>
      <c r="G40" s="486">
        <f t="shared" si="9"/>
        <v>19276.682458710944</v>
      </c>
      <c r="H40" s="455">
        <f t="shared" si="10"/>
        <v>19276.682458710944</v>
      </c>
      <c r="I40" s="475">
        <f t="shared" si="3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3"/>
    </row>
    <row r="41" spans="2:16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105796.45625692152</v>
      </c>
      <c r="E41" s="484">
        <f t="shared" si="7"/>
        <v>6717.6744186046508</v>
      </c>
      <c r="F41" s="485">
        <f t="shared" si="8"/>
        <v>99078.781838316863</v>
      </c>
      <c r="G41" s="486">
        <f t="shared" si="9"/>
        <v>18503.771458657815</v>
      </c>
      <c r="H41" s="455">
        <f t="shared" si="10"/>
        <v>18503.771458657815</v>
      </c>
      <c r="I41" s="475">
        <f t="shared" si="3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3"/>
    </row>
    <row r="42" spans="2:16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99078.781838316863</v>
      </c>
      <c r="E42" s="484">
        <f t="shared" si="7"/>
        <v>6717.6744186046508</v>
      </c>
      <c r="F42" s="485">
        <f t="shared" si="8"/>
        <v>92361.107419712207</v>
      </c>
      <c r="G42" s="486">
        <f t="shared" si="9"/>
        <v>17730.860458604679</v>
      </c>
      <c r="H42" s="455">
        <f t="shared" si="10"/>
        <v>17730.860458604679</v>
      </c>
      <c r="I42" s="475">
        <f t="shared" si="3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3"/>
    </row>
    <row r="43" spans="2:16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92361.107419712207</v>
      </c>
      <c r="E43" s="484">
        <f t="shared" si="7"/>
        <v>6717.6744186046508</v>
      </c>
      <c r="F43" s="485">
        <f t="shared" si="8"/>
        <v>85643.433001107551</v>
      </c>
      <c r="G43" s="486">
        <f t="shared" si="9"/>
        <v>16957.949458551549</v>
      </c>
      <c r="H43" s="455">
        <f t="shared" si="10"/>
        <v>16957.949458551549</v>
      </c>
      <c r="I43" s="475">
        <f t="shared" si="3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3"/>
    </row>
    <row r="44" spans="2:16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85643.433001107551</v>
      </c>
      <c r="E44" s="484">
        <f t="shared" si="7"/>
        <v>6717.6744186046508</v>
      </c>
      <c r="F44" s="485">
        <f t="shared" si="8"/>
        <v>78925.758582502895</v>
      </c>
      <c r="G44" s="486">
        <f t="shared" si="9"/>
        <v>16185.038458498415</v>
      </c>
      <c r="H44" s="455">
        <f t="shared" si="10"/>
        <v>16185.038458498415</v>
      </c>
      <c r="I44" s="475">
        <f t="shared" si="3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3"/>
    </row>
    <row r="45" spans="2:16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78925.758582502895</v>
      </c>
      <c r="E45" s="484">
        <f t="shared" si="7"/>
        <v>6717.6744186046508</v>
      </c>
      <c r="F45" s="485">
        <f t="shared" si="8"/>
        <v>72208.084163898238</v>
      </c>
      <c r="G45" s="486">
        <f t="shared" si="9"/>
        <v>15412.127458445284</v>
      </c>
      <c r="H45" s="455">
        <f t="shared" si="10"/>
        <v>15412.127458445284</v>
      </c>
      <c r="I45" s="475">
        <f t="shared" si="3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3"/>
    </row>
    <row r="46" spans="2:16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72208.084163898238</v>
      </c>
      <c r="E46" s="484">
        <f t="shared" si="7"/>
        <v>6717.6744186046508</v>
      </c>
      <c r="F46" s="485">
        <f t="shared" si="8"/>
        <v>65490.409745293589</v>
      </c>
      <c r="G46" s="486">
        <f t="shared" si="9"/>
        <v>14639.216458392151</v>
      </c>
      <c r="H46" s="455">
        <f t="shared" si="10"/>
        <v>14639.216458392151</v>
      </c>
      <c r="I46" s="475">
        <f t="shared" si="3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3"/>
    </row>
    <row r="47" spans="2:16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65490.409745293589</v>
      </c>
      <c r="E47" s="484">
        <f t="shared" si="7"/>
        <v>6717.6744186046508</v>
      </c>
      <c r="F47" s="485">
        <f t="shared" si="8"/>
        <v>58772.73532668894</v>
      </c>
      <c r="G47" s="486">
        <f t="shared" si="9"/>
        <v>13866.305458339019</v>
      </c>
      <c r="H47" s="455">
        <f t="shared" si="10"/>
        <v>13866.305458339019</v>
      </c>
      <c r="I47" s="475">
        <f t="shared" si="3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3"/>
    </row>
    <row r="48" spans="2:16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58772.73532668894</v>
      </c>
      <c r="E48" s="484">
        <f t="shared" si="7"/>
        <v>6717.6744186046508</v>
      </c>
      <c r="F48" s="485">
        <f t="shared" si="8"/>
        <v>52055.060908084291</v>
      </c>
      <c r="G48" s="486">
        <f t="shared" si="9"/>
        <v>13093.394458285888</v>
      </c>
      <c r="H48" s="455">
        <f t="shared" si="10"/>
        <v>13093.394458285888</v>
      </c>
      <c r="I48" s="475">
        <f t="shared" si="3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3"/>
    </row>
    <row r="49" spans="2:16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52055.060908084291</v>
      </c>
      <c r="E49" s="484">
        <f t="shared" si="7"/>
        <v>6717.6744186046508</v>
      </c>
      <c r="F49" s="485">
        <f t="shared" si="8"/>
        <v>45337.386489479642</v>
      </c>
      <c r="G49" s="486">
        <f t="shared" si="9"/>
        <v>12320.483458232755</v>
      </c>
      <c r="H49" s="455">
        <f t="shared" si="10"/>
        <v>12320.483458232755</v>
      </c>
      <c r="I49" s="475">
        <f t="shared" si="3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3"/>
    </row>
    <row r="50" spans="2:16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45337.386489479642</v>
      </c>
      <c r="E50" s="484">
        <f t="shared" si="7"/>
        <v>6717.6744186046508</v>
      </c>
      <c r="F50" s="485">
        <f t="shared" si="8"/>
        <v>38619.712070874994</v>
      </c>
      <c r="G50" s="486">
        <f t="shared" si="9"/>
        <v>11547.572458179624</v>
      </c>
      <c r="H50" s="455">
        <f t="shared" si="10"/>
        <v>11547.572458179624</v>
      </c>
      <c r="I50" s="475">
        <f t="shared" si="3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3"/>
    </row>
    <row r="51" spans="2:16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38619.712070874994</v>
      </c>
      <c r="E51" s="484">
        <f t="shared" si="7"/>
        <v>6717.6744186046508</v>
      </c>
      <c r="F51" s="485">
        <f t="shared" si="8"/>
        <v>31902.037652270345</v>
      </c>
      <c r="G51" s="486">
        <f t="shared" si="9"/>
        <v>10774.661458126491</v>
      </c>
      <c r="H51" s="455">
        <f t="shared" si="10"/>
        <v>10774.661458126491</v>
      </c>
      <c r="I51" s="475">
        <f t="shared" si="3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3"/>
    </row>
    <row r="52" spans="2:16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31902.037652270345</v>
      </c>
      <c r="E52" s="484">
        <f t="shared" si="7"/>
        <v>6717.6744186046508</v>
      </c>
      <c r="F52" s="485">
        <f t="shared" si="8"/>
        <v>25184.363233665696</v>
      </c>
      <c r="G52" s="486">
        <f t="shared" si="9"/>
        <v>10001.750458073358</v>
      </c>
      <c r="H52" s="455">
        <f t="shared" si="10"/>
        <v>10001.750458073358</v>
      </c>
      <c r="I52" s="475">
        <f t="shared" si="3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3"/>
    </row>
    <row r="53" spans="2:16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25184.363233665696</v>
      </c>
      <c r="E53" s="484">
        <f t="shared" si="7"/>
        <v>6717.6744186046508</v>
      </c>
      <c r="F53" s="485">
        <f t="shared" si="8"/>
        <v>18466.688815061047</v>
      </c>
      <c r="G53" s="486">
        <f t="shared" si="9"/>
        <v>9228.8394580202275</v>
      </c>
      <c r="H53" s="455">
        <f t="shared" si="10"/>
        <v>9228.8394580202275</v>
      </c>
      <c r="I53" s="475">
        <f t="shared" si="3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3"/>
    </row>
    <row r="54" spans="2:16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18466.688815061047</v>
      </c>
      <c r="E54" s="484">
        <f t="shared" si="7"/>
        <v>6717.6744186046508</v>
      </c>
      <c r="F54" s="485">
        <f t="shared" si="8"/>
        <v>11749.014396456396</v>
      </c>
      <c r="G54" s="486">
        <f t="shared" si="9"/>
        <v>8455.9284579670948</v>
      </c>
      <c r="H54" s="455">
        <f t="shared" si="10"/>
        <v>8455.9284579670948</v>
      </c>
      <c r="I54" s="475">
        <f t="shared" si="3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3"/>
    </row>
    <row r="55" spans="2:16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11749.014396456396</v>
      </c>
      <c r="E55" s="484">
        <f t="shared" si="7"/>
        <v>6717.6744186046508</v>
      </c>
      <c r="F55" s="485">
        <f t="shared" si="8"/>
        <v>5031.3399778517451</v>
      </c>
      <c r="G55" s="486">
        <f t="shared" si="9"/>
        <v>7683.0174579139621</v>
      </c>
      <c r="H55" s="455">
        <f t="shared" si="10"/>
        <v>7683.0174579139621</v>
      </c>
      <c r="I55" s="475">
        <f t="shared" si="3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3"/>
    </row>
    <row r="56" spans="2:16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5031.3399778517451</v>
      </c>
      <c r="E56" s="484">
        <f t="shared" si="7"/>
        <v>5031.3399778517451</v>
      </c>
      <c r="F56" s="485">
        <f t="shared" si="8"/>
        <v>0</v>
      </c>
      <c r="G56" s="486">
        <f t="shared" si="9"/>
        <v>5320.7837474931184</v>
      </c>
      <c r="H56" s="455">
        <f t="shared" si="10"/>
        <v>5320.7837474931184</v>
      </c>
      <c r="I56" s="475">
        <f t="shared" si="3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3"/>
    </row>
    <row r="57" spans="2:16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0</v>
      </c>
      <c r="E57" s="484">
        <f t="shared" si="7"/>
        <v>0</v>
      </c>
      <c r="F57" s="485">
        <f t="shared" si="8"/>
        <v>0</v>
      </c>
      <c r="G57" s="486">
        <f t="shared" si="9"/>
        <v>0</v>
      </c>
      <c r="H57" s="455">
        <f t="shared" si="10"/>
        <v>0</v>
      </c>
      <c r="I57" s="475">
        <f t="shared" si="3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3"/>
    </row>
    <row r="58" spans="2:16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0</v>
      </c>
      <c r="E58" s="484">
        <f t="shared" si="7"/>
        <v>0</v>
      </c>
      <c r="F58" s="485">
        <f t="shared" si="8"/>
        <v>0</v>
      </c>
      <c r="G58" s="486">
        <f t="shared" si="9"/>
        <v>0</v>
      </c>
      <c r="H58" s="455">
        <f t="shared" si="10"/>
        <v>0</v>
      </c>
      <c r="I58" s="475">
        <f t="shared" si="3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3"/>
    </row>
    <row r="59" spans="2:16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0</v>
      </c>
      <c r="E59" s="484">
        <f t="shared" si="7"/>
        <v>0</v>
      </c>
      <c r="F59" s="485">
        <f t="shared" si="8"/>
        <v>0</v>
      </c>
      <c r="G59" s="486">
        <f t="shared" si="9"/>
        <v>0</v>
      </c>
      <c r="H59" s="455">
        <f t="shared" si="10"/>
        <v>0</v>
      </c>
      <c r="I59" s="475">
        <f t="shared" si="3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3"/>
    </row>
    <row r="60" spans="2:16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7"/>
        <v>0</v>
      </c>
      <c r="F60" s="485">
        <f t="shared" si="8"/>
        <v>0</v>
      </c>
      <c r="G60" s="486">
        <f t="shared" si="9"/>
        <v>0</v>
      </c>
      <c r="H60" s="455">
        <f t="shared" si="10"/>
        <v>0</v>
      </c>
      <c r="I60" s="475">
        <f t="shared" si="3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3"/>
    </row>
    <row r="61" spans="2:16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7"/>
        <v>0</v>
      </c>
      <c r="F61" s="485">
        <f t="shared" si="8"/>
        <v>0</v>
      </c>
      <c r="G61" s="486">
        <f t="shared" si="9"/>
        <v>0</v>
      </c>
      <c r="H61" s="455">
        <f t="shared" si="10"/>
        <v>0</v>
      </c>
      <c r="I61" s="475">
        <f t="shared" si="3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3"/>
    </row>
    <row r="62" spans="2:16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7"/>
        <v>0</v>
      </c>
      <c r="F62" s="485">
        <f t="shared" si="8"/>
        <v>0</v>
      </c>
      <c r="G62" s="486">
        <f t="shared" si="9"/>
        <v>0</v>
      </c>
      <c r="H62" s="455">
        <f t="shared" si="10"/>
        <v>0</v>
      </c>
      <c r="I62" s="475">
        <f t="shared" si="3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3"/>
    </row>
    <row r="63" spans="2:16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3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3"/>
    </row>
    <row r="64" spans="2:16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3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3"/>
    </row>
    <row r="65" spans="2:16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3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3"/>
    </row>
    <row r="66" spans="2:16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3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3"/>
    </row>
    <row r="67" spans="2:16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3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3"/>
    </row>
    <row r="68" spans="2:16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3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3"/>
    </row>
    <row r="69" spans="2:16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3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3"/>
    </row>
    <row r="70" spans="2:16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3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3"/>
    </row>
    <row r="71" spans="2:16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3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3"/>
    </row>
    <row r="73" spans="2:16">
      <c r="C73" s="347" t="s">
        <v>77</v>
      </c>
      <c r="D73" s="348"/>
      <c r="E73" s="348">
        <f>SUM(E17:E72)</f>
        <v>288859.99999999994</v>
      </c>
      <c r="F73" s="348"/>
      <c r="G73" s="348">
        <f>SUM(G17:G72)</f>
        <v>1046814.3818448439</v>
      </c>
      <c r="H73" s="348">
        <f>SUM(H17:H72)</f>
        <v>1046814.3818448439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25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34223.924690152948</v>
      </c>
      <c r="N87" s="508">
        <f>IF(J92&lt;D11,0,VLOOKUP(J92,C17:O72,11))</f>
        <v>34223.924690152948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37548.523685600252</v>
      </c>
      <c r="N88" s="512">
        <f>IF(J92&lt;D11,0,VLOOKUP(J92,C99:P154,7))</f>
        <v>37548.523685600252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Fort Towson-Valliant Line Rebuild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3324.5989954473043</v>
      </c>
      <c r="N89" s="517">
        <f>+N88-N87</f>
        <v>3324.5989954473043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TP2015204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288860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7045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2018</v>
      </c>
      <c r="D99" s="584">
        <v>0</v>
      </c>
      <c r="E99" s="608">
        <v>3512.5</v>
      </c>
      <c r="F99" s="584">
        <v>298567.5</v>
      </c>
      <c r="G99" s="608">
        <v>149283.75</v>
      </c>
      <c r="H99" s="587">
        <v>18849.250674297917</v>
      </c>
      <c r="I99" s="607">
        <v>18849.250674297917</v>
      </c>
      <c r="J99" s="478">
        <f>+I99-H99</f>
        <v>0</v>
      </c>
      <c r="K99" s="478"/>
      <c r="L99" s="477">
        <f>+H99</f>
        <v>18849.250674297917</v>
      </c>
      <c r="M99" s="477">
        <f t="shared" ref="M99" si="11">IF(L99&lt;&gt;0,+H99-L99,0)</f>
        <v>0</v>
      </c>
      <c r="N99" s="477">
        <f>+I99</f>
        <v>18849.250674297917</v>
      </c>
      <c r="O99" s="477">
        <f t="shared" ref="O99" si="12">IF(N99&lt;&gt;0,+I99-N99,0)</f>
        <v>0</v>
      </c>
      <c r="P99" s="477">
        <f t="shared" ref="P99" si="13">+O99-M99</f>
        <v>0</v>
      </c>
    </row>
    <row r="100" spans="1:16">
      <c r="B100" s="160" t="str">
        <f>IF(D100=F99,"","IU")</f>
        <v>IU</v>
      </c>
      <c r="C100" s="472">
        <f>IF(D93="","-",+C99+1)</f>
        <v>2019</v>
      </c>
      <c r="D100" s="584">
        <v>285347.5</v>
      </c>
      <c r="E100" s="585">
        <v>7045</v>
      </c>
      <c r="F100" s="586">
        <v>278302.5</v>
      </c>
      <c r="G100" s="586">
        <v>281825</v>
      </c>
      <c r="H100" s="606">
        <v>36105.110400173638</v>
      </c>
      <c r="I100" s="607">
        <v>36105.110400173638</v>
      </c>
      <c r="J100" s="478">
        <f t="shared" ref="J100:J130" si="14">+I100-H100</f>
        <v>0</v>
      </c>
      <c r="K100" s="478"/>
      <c r="L100" s="476">
        <f>H100</f>
        <v>36105.110400173638</v>
      </c>
      <c r="M100" s="349">
        <f>IF(L100&lt;&gt;0,+H100-L100,0)</f>
        <v>0</v>
      </c>
      <c r="N100" s="476">
        <f>I100</f>
        <v>36105.110400173638</v>
      </c>
      <c r="O100" s="478">
        <f t="shared" ref="O100:O130" si="15">IF(N100&lt;&gt;0,+I100-N100,0)</f>
        <v>0</v>
      </c>
      <c r="P100" s="478">
        <f t="shared" ref="P100:P130" si="16">+O100-M100</f>
        <v>0</v>
      </c>
    </row>
    <row r="101" spans="1:16">
      <c r="B101" s="160" t="str">
        <f t="shared" ref="B101:B154" si="17">IF(D101=F100,"","IU")</f>
        <v/>
      </c>
      <c r="C101" s="472">
        <f>IF(D93="","-",+C100+1)</f>
        <v>2020</v>
      </c>
      <c r="D101" s="584">
        <v>278302.5</v>
      </c>
      <c r="E101" s="585">
        <v>6718</v>
      </c>
      <c r="F101" s="586">
        <v>271584.5</v>
      </c>
      <c r="G101" s="586">
        <v>274943.5</v>
      </c>
      <c r="H101" s="606">
        <v>38418.229655174066</v>
      </c>
      <c r="I101" s="607">
        <v>38418.229655174066</v>
      </c>
      <c r="J101" s="478">
        <f t="shared" si="14"/>
        <v>0</v>
      </c>
      <c r="K101" s="478"/>
      <c r="L101" s="476">
        <f>H101</f>
        <v>38418.229655174066</v>
      </c>
      <c r="M101" s="349">
        <f>IF(L101&lt;&gt;0,+H101-L101,0)</f>
        <v>0</v>
      </c>
      <c r="N101" s="476">
        <f>I101</f>
        <v>38418.229655174066</v>
      </c>
      <c r="O101" s="478">
        <f t="shared" si="15"/>
        <v>0</v>
      </c>
      <c r="P101" s="478">
        <f t="shared" si="16"/>
        <v>0</v>
      </c>
    </row>
    <row r="102" spans="1:16">
      <c r="B102" s="160" t="str">
        <f t="shared" si="17"/>
        <v/>
      </c>
      <c r="C102" s="472">
        <f>IF(D93="","-",+C101+1)</f>
        <v>2021</v>
      </c>
      <c r="D102" s="347">
        <f>IF(F101+SUM(E$99:E101)=D$92,F101,D$92-SUM(E$99:E101))</f>
        <v>271584.5</v>
      </c>
      <c r="E102" s="484">
        <f t="shared" ref="E102:E154" si="18">IF(+J$96&lt;F101,J$96,D102)</f>
        <v>7045</v>
      </c>
      <c r="F102" s="485">
        <f t="shared" ref="F102:F154" si="19">+D102-E102</f>
        <v>264539.5</v>
      </c>
      <c r="G102" s="485">
        <f t="shared" ref="G102:G154" si="20">+(F102+D102)/2</f>
        <v>268062</v>
      </c>
      <c r="H102" s="486">
        <f t="shared" ref="H102:H153" si="21">(D102+F102)/2*J$94+E102</f>
        <v>37548.523685600252</v>
      </c>
      <c r="I102" s="542">
        <f t="shared" ref="I102:I153" si="22">+J$95*G102+E102</f>
        <v>37548.523685600252</v>
      </c>
      <c r="J102" s="478">
        <f t="shared" si="14"/>
        <v>0</v>
      </c>
      <c r="K102" s="478"/>
      <c r="L102" s="487"/>
      <c r="M102" s="478">
        <f t="shared" ref="M102:M130" si="23">IF(L102&lt;&gt;0,+H102-L102,0)</f>
        <v>0</v>
      </c>
      <c r="N102" s="487"/>
      <c r="O102" s="478">
        <f t="shared" si="15"/>
        <v>0</v>
      </c>
      <c r="P102" s="478">
        <f t="shared" si="16"/>
        <v>0</v>
      </c>
    </row>
    <row r="103" spans="1:16">
      <c r="B103" s="160" t="str">
        <f t="shared" si="17"/>
        <v/>
      </c>
      <c r="C103" s="472">
        <f>IF(D93="","-",+C102+1)</f>
        <v>2022</v>
      </c>
      <c r="D103" s="347">
        <f>IF(F102+SUM(E$99:E102)=D$92,F102,D$92-SUM(E$99:E102))</f>
        <v>264539.5</v>
      </c>
      <c r="E103" s="484">
        <f t="shared" si="18"/>
        <v>7045</v>
      </c>
      <c r="F103" s="485">
        <f t="shared" si="19"/>
        <v>257494.5</v>
      </c>
      <c r="G103" s="485">
        <f t="shared" si="20"/>
        <v>261017</v>
      </c>
      <c r="H103" s="486">
        <f t="shared" si="21"/>
        <v>36746.853458693586</v>
      </c>
      <c r="I103" s="542">
        <f t="shared" si="22"/>
        <v>36746.853458693586</v>
      </c>
      <c r="J103" s="478">
        <f t="shared" si="14"/>
        <v>0</v>
      </c>
      <c r="K103" s="478"/>
      <c r="L103" s="487"/>
      <c r="M103" s="478">
        <f t="shared" si="23"/>
        <v>0</v>
      </c>
      <c r="N103" s="487"/>
      <c r="O103" s="478">
        <f t="shared" si="15"/>
        <v>0</v>
      </c>
      <c r="P103" s="478">
        <f t="shared" si="16"/>
        <v>0</v>
      </c>
    </row>
    <row r="104" spans="1:16">
      <c r="B104" s="160" t="str">
        <f t="shared" si="17"/>
        <v/>
      </c>
      <c r="C104" s="472">
        <f>IF(D93="","-",+C103+1)</f>
        <v>2023</v>
      </c>
      <c r="D104" s="347">
        <f>IF(F103+SUM(E$99:E103)=D$92,F103,D$92-SUM(E$99:E103))</f>
        <v>257494.5</v>
      </c>
      <c r="E104" s="484">
        <f t="shared" si="18"/>
        <v>7045</v>
      </c>
      <c r="F104" s="485">
        <f t="shared" si="19"/>
        <v>250449.5</v>
      </c>
      <c r="G104" s="485">
        <f t="shared" si="20"/>
        <v>253972</v>
      </c>
      <c r="H104" s="486">
        <f t="shared" si="21"/>
        <v>35945.183231786927</v>
      </c>
      <c r="I104" s="542">
        <f t="shared" si="22"/>
        <v>35945.183231786927</v>
      </c>
      <c r="J104" s="478">
        <f t="shared" si="14"/>
        <v>0</v>
      </c>
      <c r="K104" s="478"/>
      <c r="L104" s="487"/>
      <c r="M104" s="478">
        <f t="shared" si="23"/>
        <v>0</v>
      </c>
      <c r="N104" s="487"/>
      <c r="O104" s="478">
        <f t="shared" si="15"/>
        <v>0</v>
      </c>
      <c r="P104" s="478">
        <f t="shared" si="16"/>
        <v>0</v>
      </c>
    </row>
    <row r="105" spans="1:16">
      <c r="B105" s="160" t="str">
        <f t="shared" si="17"/>
        <v/>
      </c>
      <c r="C105" s="472">
        <f>IF(D93="","-",+C104+1)</f>
        <v>2024</v>
      </c>
      <c r="D105" s="347">
        <f>IF(F104+SUM(E$99:E104)=D$92,F104,D$92-SUM(E$99:E104))</f>
        <v>250449.5</v>
      </c>
      <c r="E105" s="484">
        <f t="shared" si="18"/>
        <v>7045</v>
      </c>
      <c r="F105" s="485">
        <f t="shared" si="19"/>
        <v>243404.5</v>
      </c>
      <c r="G105" s="485">
        <f t="shared" si="20"/>
        <v>246927</v>
      </c>
      <c r="H105" s="486">
        <f t="shared" si="21"/>
        <v>35143.513004880268</v>
      </c>
      <c r="I105" s="542">
        <f t="shared" si="22"/>
        <v>35143.513004880268</v>
      </c>
      <c r="J105" s="478">
        <f t="shared" si="14"/>
        <v>0</v>
      </c>
      <c r="K105" s="478"/>
      <c r="L105" s="487"/>
      <c r="M105" s="478">
        <f t="shared" si="23"/>
        <v>0</v>
      </c>
      <c r="N105" s="487"/>
      <c r="O105" s="478">
        <f t="shared" si="15"/>
        <v>0</v>
      </c>
      <c r="P105" s="478">
        <f t="shared" si="16"/>
        <v>0</v>
      </c>
    </row>
    <row r="106" spans="1:16">
      <c r="B106" s="160" t="str">
        <f t="shared" si="17"/>
        <v/>
      </c>
      <c r="C106" s="472">
        <f>IF(D93="","-",+C105+1)</f>
        <v>2025</v>
      </c>
      <c r="D106" s="347">
        <f>IF(F105+SUM(E$99:E105)=D$92,F105,D$92-SUM(E$99:E105))</f>
        <v>243404.5</v>
      </c>
      <c r="E106" s="484">
        <f t="shared" si="18"/>
        <v>7045</v>
      </c>
      <c r="F106" s="485">
        <f t="shared" si="19"/>
        <v>236359.5</v>
      </c>
      <c r="G106" s="485">
        <f t="shared" si="20"/>
        <v>239882</v>
      </c>
      <c r="H106" s="486">
        <f t="shared" si="21"/>
        <v>34341.842777973601</v>
      </c>
      <c r="I106" s="542">
        <f t="shared" si="22"/>
        <v>34341.842777973601</v>
      </c>
      <c r="J106" s="478">
        <f t="shared" si="14"/>
        <v>0</v>
      </c>
      <c r="K106" s="478"/>
      <c r="L106" s="487"/>
      <c r="M106" s="478">
        <f t="shared" si="23"/>
        <v>0</v>
      </c>
      <c r="N106" s="487"/>
      <c r="O106" s="478">
        <f t="shared" si="15"/>
        <v>0</v>
      </c>
      <c r="P106" s="478">
        <f t="shared" si="16"/>
        <v>0</v>
      </c>
    </row>
    <row r="107" spans="1:16">
      <c r="B107" s="160" t="str">
        <f t="shared" si="17"/>
        <v/>
      </c>
      <c r="C107" s="472">
        <f>IF(D93="","-",+C106+1)</f>
        <v>2026</v>
      </c>
      <c r="D107" s="347">
        <f>IF(F106+SUM(E$99:E106)=D$92,F106,D$92-SUM(E$99:E106))</f>
        <v>236359.5</v>
      </c>
      <c r="E107" s="484">
        <f t="shared" si="18"/>
        <v>7045</v>
      </c>
      <c r="F107" s="485">
        <f t="shared" si="19"/>
        <v>229314.5</v>
      </c>
      <c r="G107" s="485">
        <f t="shared" si="20"/>
        <v>232837</v>
      </c>
      <c r="H107" s="486">
        <f t="shared" si="21"/>
        <v>33540.172551066935</v>
      </c>
      <c r="I107" s="542">
        <f t="shared" si="22"/>
        <v>33540.172551066935</v>
      </c>
      <c r="J107" s="478">
        <f t="shared" si="14"/>
        <v>0</v>
      </c>
      <c r="K107" s="478"/>
      <c r="L107" s="487"/>
      <c r="M107" s="478">
        <f t="shared" si="23"/>
        <v>0</v>
      </c>
      <c r="N107" s="487"/>
      <c r="O107" s="478">
        <f t="shared" si="15"/>
        <v>0</v>
      </c>
      <c r="P107" s="478">
        <f t="shared" si="16"/>
        <v>0</v>
      </c>
    </row>
    <row r="108" spans="1:16">
      <c r="B108" s="160" t="str">
        <f t="shared" si="17"/>
        <v/>
      </c>
      <c r="C108" s="472">
        <f>IF(D93="","-",+C107+1)</f>
        <v>2027</v>
      </c>
      <c r="D108" s="347">
        <f>IF(F107+SUM(E$99:E107)=D$92,F107,D$92-SUM(E$99:E107))</f>
        <v>229314.5</v>
      </c>
      <c r="E108" s="484">
        <f t="shared" si="18"/>
        <v>7045</v>
      </c>
      <c r="F108" s="485">
        <f t="shared" si="19"/>
        <v>222269.5</v>
      </c>
      <c r="G108" s="485">
        <f t="shared" si="20"/>
        <v>225792</v>
      </c>
      <c r="H108" s="486">
        <f t="shared" si="21"/>
        <v>32738.502324160276</v>
      </c>
      <c r="I108" s="542">
        <f t="shared" si="22"/>
        <v>32738.502324160276</v>
      </c>
      <c r="J108" s="478">
        <f t="shared" si="14"/>
        <v>0</v>
      </c>
      <c r="K108" s="478"/>
      <c r="L108" s="487"/>
      <c r="M108" s="478">
        <f t="shared" si="23"/>
        <v>0</v>
      </c>
      <c r="N108" s="487"/>
      <c r="O108" s="478">
        <f t="shared" si="15"/>
        <v>0</v>
      </c>
      <c r="P108" s="478">
        <f t="shared" si="16"/>
        <v>0</v>
      </c>
    </row>
    <row r="109" spans="1:16">
      <c r="B109" s="160" t="str">
        <f t="shared" si="17"/>
        <v/>
      </c>
      <c r="C109" s="472">
        <f>IF(D93="","-",+C108+1)</f>
        <v>2028</v>
      </c>
      <c r="D109" s="347">
        <f>IF(F108+SUM(E$99:E108)=D$92,F108,D$92-SUM(E$99:E108))</f>
        <v>222269.5</v>
      </c>
      <c r="E109" s="484">
        <f t="shared" si="18"/>
        <v>7045</v>
      </c>
      <c r="F109" s="485">
        <f t="shared" si="19"/>
        <v>215224.5</v>
      </c>
      <c r="G109" s="485">
        <f t="shared" si="20"/>
        <v>218747</v>
      </c>
      <c r="H109" s="486">
        <f t="shared" si="21"/>
        <v>31936.832097253613</v>
      </c>
      <c r="I109" s="542">
        <f t="shared" si="22"/>
        <v>31936.832097253613</v>
      </c>
      <c r="J109" s="478">
        <f t="shared" si="14"/>
        <v>0</v>
      </c>
      <c r="K109" s="478"/>
      <c r="L109" s="487"/>
      <c r="M109" s="478">
        <f t="shared" si="23"/>
        <v>0</v>
      </c>
      <c r="N109" s="487"/>
      <c r="O109" s="478">
        <f t="shared" si="15"/>
        <v>0</v>
      </c>
      <c r="P109" s="478">
        <f t="shared" si="16"/>
        <v>0</v>
      </c>
    </row>
    <row r="110" spans="1:16">
      <c r="B110" s="160" t="str">
        <f t="shared" si="17"/>
        <v/>
      </c>
      <c r="C110" s="472">
        <f>IF(D93="","-",+C109+1)</f>
        <v>2029</v>
      </c>
      <c r="D110" s="347">
        <f>IF(F109+SUM(E$99:E109)=D$92,F109,D$92-SUM(E$99:E109))</f>
        <v>215224.5</v>
      </c>
      <c r="E110" s="484">
        <f t="shared" si="18"/>
        <v>7045</v>
      </c>
      <c r="F110" s="485">
        <f t="shared" si="19"/>
        <v>208179.5</v>
      </c>
      <c r="G110" s="485">
        <f t="shared" si="20"/>
        <v>211702</v>
      </c>
      <c r="H110" s="486">
        <f t="shared" si="21"/>
        <v>31135.16187034695</v>
      </c>
      <c r="I110" s="542">
        <f t="shared" si="22"/>
        <v>31135.16187034695</v>
      </c>
      <c r="J110" s="478">
        <f t="shared" si="14"/>
        <v>0</v>
      </c>
      <c r="K110" s="478"/>
      <c r="L110" s="487"/>
      <c r="M110" s="478">
        <f t="shared" si="23"/>
        <v>0</v>
      </c>
      <c r="N110" s="487"/>
      <c r="O110" s="478">
        <f t="shared" si="15"/>
        <v>0</v>
      </c>
      <c r="P110" s="478">
        <f t="shared" si="16"/>
        <v>0</v>
      </c>
    </row>
    <row r="111" spans="1:16">
      <c r="B111" s="160" t="str">
        <f t="shared" si="17"/>
        <v/>
      </c>
      <c r="C111" s="472">
        <f>IF(D93="","-",+C110+1)</f>
        <v>2030</v>
      </c>
      <c r="D111" s="347">
        <f>IF(F110+SUM(E$99:E110)=D$92,F110,D$92-SUM(E$99:E110))</f>
        <v>208179.5</v>
      </c>
      <c r="E111" s="484">
        <f t="shared" si="18"/>
        <v>7045</v>
      </c>
      <c r="F111" s="485">
        <f t="shared" si="19"/>
        <v>201134.5</v>
      </c>
      <c r="G111" s="485">
        <f t="shared" si="20"/>
        <v>204657</v>
      </c>
      <c r="H111" s="486">
        <f t="shared" si="21"/>
        <v>30333.491643440288</v>
      </c>
      <c r="I111" s="542">
        <f t="shared" si="22"/>
        <v>30333.491643440288</v>
      </c>
      <c r="J111" s="478">
        <f t="shared" si="14"/>
        <v>0</v>
      </c>
      <c r="K111" s="478"/>
      <c r="L111" s="487"/>
      <c r="M111" s="478">
        <f t="shared" si="23"/>
        <v>0</v>
      </c>
      <c r="N111" s="487"/>
      <c r="O111" s="478">
        <f t="shared" si="15"/>
        <v>0</v>
      </c>
      <c r="P111" s="478">
        <f t="shared" si="16"/>
        <v>0</v>
      </c>
    </row>
    <row r="112" spans="1:16">
      <c r="B112" s="160" t="str">
        <f t="shared" si="17"/>
        <v/>
      </c>
      <c r="C112" s="472">
        <f>IF(D93="","-",+C111+1)</f>
        <v>2031</v>
      </c>
      <c r="D112" s="347">
        <f>IF(F111+SUM(E$99:E111)=D$92,F111,D$92-SUM(E$99:E111))</f>
        <v>201134.5</v>
      </c>
      <c r="E112" s="484">
        <f t="shared" si="18"/>
        <v>7045</v>
      </c>
      <c r="F112" s="485">
        <f t="shared" si="19"/>
        <v>194089.5</v>
      </c>
      <c r="G112" s="485">
        <f t="shared" si="20"/>
        <v>197612</v>
      </c>
      <c r="H112" s="486">
        <f t="shared" si="21"/>
        <v>29531.821416533625</v>
      </c>
      <c r="I112" s="542">
        <f t="shared" si="22"/>
        <v>29531.821416533625</v>
      </c>
      <c r="J112" s="478">
        <f t="shared" si="14"/>
        <v>0</v>
      </c>
      <c r="K112" s="478"/>
      <c r="L112" s="487"/>
      <c r="M112" s="478">
        <f t="shared" si="23"/>
        <v>0</v>
      </c>
      <c r="N112" s="487"/>
      <c r="O112" s="478">
        <f t="shared" si="15"/>
        <v>0</v>
      </c>
      <c r="P112" s="478">
        <f t="shared" si="16"/>
        <v>0</v>
      </c>
    </row>
    <row r="113" spans="2:16">
      <c r="B113" s="160" t="str">
        <f t="shared" si="17"/>
        <v/>
      </c>
      <c r="C113" s="472">
        <f>IF(D93="","-",+C112+1)</f>
        <v>2032</v>
      </c>
      <c r="D113" s="347">
        <f>IF(F112+SUM(E$99:E112)=D$92,F112,D$92-SUM(E$99:E112))</f>
        <v>194089.5</v>
      </c>
      <c r="E113" s="484">
        <f t="shared" si="18"/>
        <v>7045</v>
      </c>
      <c r="F113" s="485">
        <f t="shared" si="19"/>
        <v>187044.5</v>
      </c>
      <c r="G113" s="485">
        <f t="shared" si="20"/>
        <v>190567</v>
      </c>
      <c r="H113" s="486">
        <f t="shared" si="21"/>
        <v>28730.151189626962</v>
      </c>
      <c r="I113" s="542">
        <f t="shared" si="22"/>
        <v>28730.151189626962</v>
      </c>
      <c r="J113" s="478">
        <f t="shared" si="14"/>
        <v>0</v>
      </c>
      <c r="K113" s="478"/>
      <c r="L113" s="487"/>
      <c r="M113" s="478">
        <f t="shared" si="23"/>
        <v>0</v>
      </c>
      <c r="N113" s="487"/>
      <c r="O113" s="478">
        <f t="shared" si="15"/>
        <v>0</v>
      </c>
      <c r="P113" s="478">
        <f t="shared" si="16"/>
        <v>0</v>
      </c>
    </row>
    <row r="114" spans="2:16">
      <c r="B114" s="160" t="str">
        <f t="shared" si="17"/>
        <v/>
      </c>
      <c r="C114" s="472">
        <f>IF(D93="","-",+C113+1)</f>
        <v>2033</v>
      </c>
      <c r="D114" s="347">
        <f>IF(F113+SUM(E$99:E113)=D$92,F113,D$92-SUM(E$99:E113))</f>
        <v>187044.5</v>
      </c>
      <c r="E114" s="484">
        <f t="shared" si="18"/>
        <v>7045</v>
      </c>
      <c r="F114" s="485">
        <f t="shared" si="19"/>
        <v>179999.5</v>
      </c>
      <c r="G114" s="485">
        <f t="shared" si="20"/>
        <v>183522</v>
      </c>
      <c r="H114" s="486">
        <f t="shared" si="21"/>
        <v>27928.480962720299</v>
      </c>
      <c r="I114" s="542">
        <f t="shared" si="22"/>
        <v>27928.480962720299</v>
      </c>
      <c r="J114" s="478">
        <f t="shared" si="14"/>
        <v>0</v>
      </c>
      <c r="K114" s="478"/>
      <c r="L114" s="487"/>
      <c r="M114" s="478">
        <f t="shared" si="23"/>
        <v>0</v>
      </c>
      <c r="N114" s="487"/>
      <c r="O114" s="478">
        <f t="shared" si="15"/>
        <v>0</v>
      </c>
      <c r="P114" s="478">
        <f t="shared" si="16"/>
        <v>0</v>
      </c>
    </row>
    <row r="115" spans="2:16">
      <c r="B115" s="160" t="str">
        <f t="shared" si="17"/>
        <v/>
      </c>
      <c r="C115" s="472">
        <f>IF(D93="","-",+C114+1)</f>
        <v>2034</v>
      </c>
      <c r="D115" s="347">
        <f>IF(F114+SUM(E$99:E114)=D$92,F114,D$92-SUM(E$99:E114))</f>
        <v>179999.5</v>
      </c>
      <c r="E115" s="484">
        <f t="shared" si="18"/>
        <v>7045</v>
      </c>
      <c r="F115" s="485">
        <f t="shared" si="19"/>
        <v>172954.5</v>
      </c>
      <c r="G115" s="485">
        <f t="shared" si="20"/>
        <v>176477</v>
      </c>
      <c r="H115" s="486">
        <f t="shared" si="21"/>
        <v>27126.810735813637</v>
      </c>
      <c r="I115" s="542">
        <f t="shared" si="22"/>
        <v>27126.810735813637</v>
      </c>
      <c r="J115" s="478">
        <f t="shared" si="14"/>
        <v>0</v>
      </c>
      <c r="K115" s="478"/>
      <c r="L115" s="487"/>
      <c r="M115" s="478">
        <f t="shared" si="23"/>
        <v>0</v>
      </c>
      <c r="N115" s="487"/>
      <c r="O115" s="478">
        <f t="shared" si="15"/>
        <v>0</v>
      </c>
      <c r="P115" s="478">
        <f t="shared" si="16"/>
        <v>0</v>
      </c>
    </row>
    <row r="116" spans="2:16">
      <c r="B116" s="160" t="str">
        <f t="shared" si="17"/>
        <v/>
      </c>
      <c r="C116" s="472">
        <f>IF(D93="","-",+C115+1)</f>
        <v>2035</v>
      </c>
      <c r="D116" s="347">
        <f>IF(F115+SUM(E$99:E115)=D$92,F115,D$92-SUM(E$99:E115))</f>
        <v>172954.5</v>
      </c>
      <c r="E116" s="484">
        <f t="shared" si="18"/>
        <v>7045</v>
      </c>
      <c r="F116" s="485">
        <f t="shared" si="19"/>
        <v>165909.5</v>
      </c>
      <c r="G116" s="485">
        <f t="shared" si="20"/>
        <v>169432</v>
      </c>
      <c r="H116" s="486">
        <f t="shared" si="21"/>
        <v>26325.140508906974</v>
      </c>
      <c r="I116" s="542">
        <f t="shared" si="22"/>
        <v>26325.140508906974</v>
      </c>
      <c r="J116" s="478">
        <f t="shared" si="14"/>
        <v>0</v>
      </c>
      <c r="K116" s="478"/>
      <c r="L116" s="487"/>
      <c r="M116" s="478">
        <f t="shared" si="23"/>
        <v>0</v>
      </c>
      <c r="N116" s="487"/>
      <c r="O116" s="478">
        <f t="shared" si="15"/>
        <v>0</v>
      </c>
      <c r="P116" s="478">
        <f t="shared" si="16"/>
        <v>0</v>
      </c>
    </row>
    <row r="117" spans="2:16">
      <c r="B117" s="160" t="str">
        <f t="shared" si="17"/>
        <v/>
      </c>
      <c r="C117" s="472">
        <f>IF(D93="","-",+C116+1)</f>
        <v>2036</v>
      </c>
      <c r="D117" s="347">
        <f>IF(F116+SUM(E$99:E116)=D$92,F116,D$92-SUM(E$99:E116))</f>
        <v>165909.5</v>
      </c>
      <c r="E117" s="484">
        <f t="shared" si="18"/>
        <v>7045</v>
      </c>
      <c r="F117" s="485">
        <f t="shared" si="19"/>
        <v>158864.5</v>
      </c>
      <c r="G117" s="485">
        <f t="shared" si="20"/>
        <v>162387</v>
      </c>
      <c r="H117" s="486">
        <f t="shared" si="21"/>
        <v>25523.470282000315</v>
      </c>
      <c r="I117" s="542">
        <f t="shared" si="22"/>
        <v>25523.470282000315</v>
      </c>
      <c r="J117" s="478">
        <f t="shared" si="14"/>
        <v>0</v>
      </c>
      <c r="K117" s="478"/>
      <c r="L117" s="487"/>
      <c r="M117" s="478">
        <f t="shared" si="23"/>
        <v>0</v>
      </c>
      <c r="N117" s="487"/>
      <c r="O117" s="478">
        <f t="shared" si="15"/>
        <v>0</v>
      </c>
      <c r="P117" s="478">
        <f t="shared" si="16"/>
        <v>0</v>
      </c>
    </row>
    <row r="118" spans="2:16">
      <c r="B118" s="160" t="str">
        <f t="shared" si="17"/>
        <v/>
      </c>
      <c r="C118" s="472">
        <f>IF(D93="","-",+C117+1)</f>
        <v>2037</v>
      </c>
      <c r="D118" s="347">
        <f>IF(F117+SUM(E$99:E117)=D$92,F117,D$92-SUM(E$99:E117))</f>
        <v>158864.5</v>
      </c>
      <c r="E118" s="484">
        <f t="shared" si="18"/>
        <v>7045</v>
      </c>
      <c r="F118" s="485">
        <f t="shared" si="19"/>
        <v>151819.5</v>
      </c>
      <c r="G118" s="485">
        <f t="shared" si="20"/>
        <v>155342</v>
      </c>
      <c r="H118" s="486">
        <f t="shared" si="21"/>
        <v>24721.800055093652</v>
      </c>
      <c r="I118" s="542">
        <f t="shared" si="22"/>
        <v>24721.800055093652</v>
      </c>
      <c r="J118" s="478">
        <f t="shared" si="14"/>
        <v>0</v>
      </c>
      <c r="K118" s="478"/>
      <c r="L118" s="487"/>
      <c r="M118" s="478">
        <f t="shared" si="23"/>
        <v>0</v>
      </c>
      <c r="N118" s="487"/>
      <c r="O118" s="478">
        <f t="shared" si="15"/>
        <v>0</v>
      </c>
      <c r="P118" s="478">
        <f t="shared" si="16"/>
        <v>0</v>
      </c>
    </row>
    <row r="119" spans="2:16">
      <c r="B119" s="160" t="str">
        <f t="shared" si="17"/>
        <v/>
      </c>
      <c r="C119" s="472">
        <f>IF(D93="","-",+C118+1)</f>
        <v>2038</v>
      </c>
      <c r="D119" s="347">
        <f>IF(F118+SUM(E$99:E118)=D$92,F118,D$92-SUM(E$99:E118))</f>
        <v>151819.5</v>
      </c>
      <c r="E119" s="484">
        <f t="shared" si="18"/>
        <v>7045</v>
      </c>
      <c r="F119" s="485">
        <f t="shared" si="19"/>
        <v>144774.5</v>
      </c>
      <c r="G119" s="485">
        <f t="shared" si="20"/>
        <v>148297</v>
      </c>
      <c r="H119" s="486">
        <f t="shared" si="21"/>
        <v>23920.129828186989</v>
      </c>
      <c r="I119" s="542">
        <f t="shared" si="22"/>
        <v>23920.129828186989</v>
      </c>
      <c r="J119" s="478">
        <f t="shared" si="14"/>
        <v>0</v>
      </c>
      <c r="K119" s="478"/>
      <c r="L119" s="487"/>
      <c r="M119" s="478">
        <f t="shared" si="23"/>
        <v>0</v>
      </c>
      <c r="N119" s="487"/>
      <c r="O119" s="478">
        <f t="shared" si="15"/>
        <v>0</v>
      </c>
      <c r="P119" s="478">
        <f t="shared" si="16"/>
        <v>0</v>
      </c>
    </row>
    <row r="120" spans="2:16">
      <c r="B120" s="160" t="str">
        <f t="shared" si="17"/>
        <v/>
      </c>
      <c r="C120" s="472">
        <f>IF(D93="","-",+C119+1)</f>
        <v>2039</v>
      </c>
      <c r="D120" s="347">
        <f>IF(F119+SUM(E$99:E119)=D$92,F119,D$92-SUM(E$99:E119))</f>
        <v>144774.5</v>
      </c>
      <c r="E120" s="484">
        <f t="shared" si="18"/>
        <v>7045</v>
      </c>
      <c r="F120" s="485">
        <f t="shared" si="19"/>
        <v>137729.5</v>
      </c>
      <c r="G120" s="485">
        <f t="shared" si="20"/>
        <v>141252</v>
      </c>
      <c r="H120" s="486">
        <f t="shared" si="21"/>
        <v>23118.459601280323</v>
      </c>
      <c r="I120" s="542">
        <f t="shared" si="22"/>
        <v>23118.459601280323</v>
      </c>
      <c r="J120" s="478">
        <f t="shared" si="14"/>
        <v>0</v>
      </c>
      <c r="K120" s="478"/>
      <c r="L120" s="487"/>
      <c r="M120" s="478">
        <f t="shared" si="23"/>
        <v>0</v>
      </c>
      <c r="N120" s="487"/>
      <c r="O120" s="478">
        <f t="shared" si="15"/>
        <v>0</v>
      </c>
      <c r="P120" s="478">
        <f t="shared" si="16"/>
        <v>0</v>
      </c>
    </row>
    <row r="121" spans="2:16">
      <c r="B121" s="160" t="str">
        <f t="shared" si="17"/>
        <v/>
      </c>
      <c r="C121" s="472">
        <f>IF(D93="","-",+C120+1)</f>
        <v>2040</v>
      </c>
      <c r="D121" s="347">
        <f>IF(F120+SUM(E$99:E120)=D$92,F120,D$92-SUM(E$99:E120))</f>
        <v>137729.5</v>
      </c>
      <c r="E121" s="484">
        <f t="shared" si="18"/>
        <v>7045</v>
      </c>
      <c r="F121" s="485">
        <f t="shared" si="19"/>
        <v>130684.5</v>
      </c>
      <c r="G121" s="485">
        <f t="shared" si="20"/>
        <v>134207</v>
      </c>
      <c r="H121" s="486">
        <f t="shared" si="21"/>
        <v>22316.789374373664</v>
      </c>
      <c r="I121" s="542">
        <f t="shared" si="22"/>
        <v>22316.789374373664</v>
      </c>
      <c r="J121" s="478">
        <f t="shared" si="14"/>
        <v>0</v>
      </c>
      <c r="K121" s="478"/>
      <c r="L121" s="487"/>
      <c r="M121" s="478">
        <f t="shared" si="23"/>
        <v>0</v>
      </c>
      <c r="N121" s="487"/>
      <c r="O121" s="478">
        <f t="shared" si="15"/>
        <v>0</v>
      </c>
      <c r="P121" s="478">
        <f t="shared" si="16"/>
        <v>0</v>
      </c>
    </row>
    <row r="122" spans="2:16">
      <c r="B122" s="160" t="str">
        <f t="shared" si="17"/>
        <v/>
      </c>
      <c r="C122" s="472">
        <f>IF(D93="","-",+C121+1)</f>
        <v>2041</v>
      </c>
      <c r="D122" s="347">
        <f>IF(F121+SUM(E$99:E121)=D$92,F121,D$92-SUM(E$99:E121))</f>
        <v>130684.5</v>
      </c>
      <c r="E122" s="484">
        <f t="shared" si="18"/>
        <v>7045</v>
      </c>
      <c r="F122" s="485">
        <f t="shared" si="19"/>
        <v>123639.5</v>
      </c>
      <c r="G122" s="485">
        <f t="shared" si="20"/>
        <v>127162</v>
      </c>
      <c r="H122" s="486">
        <f t="shared" si="21"/>
        <v>21515.119147467001</v>
      </c>
      <c r="I122" s="542">
        <f t="shared" si="22"/>
        <v>21515.119147467001</v>
      </c>
      <c r="J122" s="478">
        <f t="shared" si="14"/>
        <v>0</v>
      </c>
      <c r="K122" s="478"/>
      <c r="L122" s="487"/>
      <c r="M122" s="478">
        <f t="shared" si="23"/>
        <v>0</v>
      </c>
      <c r="N122" s="487"/>
      <c r="O122" s="478">
        <f t="shared" si="15"/>
        <v>0</v>
      </c>
      <c r="P122" s="478">
        <f t="shared" si="16"/>
        <v>0</v>
      </c>
    </row>
    <row r="123" spans="2:16">
      <c r="B123" s="160" t="str">
        <f t="shared" si="17"/>
        <v/>
      </c>
      <c r="C123" s="472">
        <f>IF(D93="","-",+C122+1)</f>
        <v>2042</v>
      </c>
      <c r="D123" s="347">
        <f>IF(F122+SUM(E$99:E122)=D$92,F122,D$92-SUM(E$99:E122))</f>
        <v>123639.5</v>
      </c>
      <c r="E123" s="484">
        <f t="shared" si="18"/>
        <v>7045</v>
      </c>
      <c r="F123" s="485">
        <f t="shared" si="19"/>
        <v>116594.5</v>
      </c>
      <c r="G123" s="485">
        <f t="shared" si="20"/>
        <v>120117</v>
      </c>
      <c r="H123" s="486">
        <f t="shared" si="21"/>
        <v>20713.448920560339</v>
      </c>
      <c r="I123" s="542">
        <f t="shared" si="22"/>
        <v>20713.448920560339</v>
      </c>
      <c r="J123" s="478">
        <f t="shared" si="14"/>
        <v>0</v>
      </c>
      <c r="K123" s="478"/>
      <c r="L123" s="487"/>
      <c r="M123" s="478">
        <f t="shared" si="23"/>
        <v>0</v>
      </c>
      <c r="N123" s="487"/>
      <c r="O123" s="478">
        <f t="shared" si="15"/>
        <v>0</v>
      </c>
      <c r="P123" s="478">
        <f t="shared" si="16"/>
        <v>0</v>
      </c>
    </row>
    <row r="124" spans="2:16">
      <c r="B124" s="160" t="str">
        <f t="shared" si="17"/>
        <v/>
      </c>
      <c r="C124" s="472">
        <f>IF(D93="","-",+C123+1)</f>
        <v>2043</v>
      </c>
      <c r="D124" s="347">
        <f>IF(F123+SUM(E$99:E123)=D$92,F123,D$92-SUM(E$99:E123))</f>
        <v>116594.5</v>
      </c>
      <c r="E124" s="484">
        <f t="shared" si="18"/>
        <v>7045</v>
      </c>
      <c r="F124" s="485">
        <f t="shared" si="19"/>
        <v>109549.5</v>
      </c>
      <c r="G124" s="485">
        <f t="shared" si="20"/>
        <v>113072</v>
      </c>
      <c r="H124" s="486">
        <f t="shared" si="21"/>
        <v>19911.778693653676</v>
      </c>
      <c r="I124" s="542">
        <f t="shared" si="22"/>
        <v>19911.778693653676</v>
      </c>
      <c r="J124" s="478">
        <f t="shared" si="14"/>
        <v>0</v>
      </c>
      <c r="K124" s="478"/>
      <c r="L124" s="487"/>
      <c r="M124" s="478">
        <f t="shared" si="23"/>
        <v>0</v>
      </c>
      <c r="N124" s="487"/>
      <c r="O124" s="478">
        <f t="shared" si="15"/>
        <v>0</v>
      </c>
      <c r="P124" s="478">
        <f t="shared" si="16"/>
        <v>0</v>
      </c>
    </row>
    <row r="125" spans="2:16">
      <c r="B125" s="160" t="str">
        <f t="shared" si="17"/>
        <v/>
      </c>
      <c r="C125" s="472">
        <f>IF(D93="","-",+C124+1)</f>
        <v>2044</v>
      </c>
      <c r="D125" s="347">
        <f>IF(F124+SUM(E$99:E124)=D$92,F124,D$92-SUM(E$99:E124))</f>
        <v>109549.5</v>
      </c>
      <c r="E125" s="484">
        <f t="shared" si="18"/>
        <v>7045</v>
      </c>
      <c r="F125" s="485">
        <f t="shared" si="19"/>
        <v>102504.5</v>
      </c>
      <c r="G125" s="485">
        <f t="shared" si="20"/>
        <v>106027</v>
      </c>
      <c r="H125" s="486">
        <f t="shared" si="21"/>
        <v>19110.108466747013</v>
      </c>
      <c r="I125" s="542">
        <f t="shared" si="22"/>
        <v>19110.108466747013</v>
      </c>
      <c r="J125" s="478">
        <f t="shared" si="14"/>
        <v>0</v>
      </c>
      <c r="K125" s="478"/>
      <c r="L125" s="487"/>
      <c r="M125" s="478">
        <f t="shared" si="23"/>
        <v>0</v>
      </c>
      <c r="N125" s="487"/>
      <c r="O125" s="478">
        <f t="shared" si="15"/>
        <v>0</v>
      </c>
      <c r="P125" s="478">
        <f t="shared" si="16"/>
        <v>0</v>
      </c>
    </row>
    <row r="126" spans="2:16">
      <c r="B126" s="160" t="str">
        <f t="shared" si="17"/>
        <v/>
      </c>
      <c r="C126" s="472">
        <f>IF(D93="","-",+C125+1)</f>
        <v>2045</v>
      </c>
      <c r="D126" s="347">
        <f>IF(F125+SUM(E$99:E125)=D$92,F125,D$92-SUM(E$99:E125))</f>
        <v>102504.5</v>
      </c>
      <c r="E126" s="484">
        <f t="shared" si="18"/>
        <v>7045</v>
      </c>
      <c r="F126" s="485">
        <f t="shared" si="19"/>
        <v>95459.5</v>
      </c>
      <c r="G126" s="485">
        <f t="shared" si="20"/>
        <v>98982</v>
      </c>
      <c r="H126" s="486">
        <f t="shared" si="21"/>
        <v>18308.43823984035</v>
      </c>
      <c r="I126" s="542">
        <f t="shared" si="22"/>
        <v>18308.43823984035</v>
      </c>
      <c r="J126" s="478">
        <f t="shared" si="14"/>
        <v>0</v>
      </c>
      <c r="K126" s="478"/>
      <c r="L126" s="487"/>
      <c r="M126" s="478">
        <f t="shared" si="23"/>
        <v>0</v>
      </c>
      <c r="N126" s="487"/>
      <c r="O126" s="478">
        <f t="shared" si="15"/>
        <v>0</v>
      </c>
      <c r="P126" s="478">
        <f t="shared" si="16"/>
        <v>0</v>
      </c>
    </row>
    <row r="127" spans="2:16">
      <c r="B127" s="160" t="str">
        <f t="shared" si="17"/>
        <v/>
      </c>
      <c r="C127" s="472">
        <f>IF(D93="","-",+C126+1)</f>
        <v>2046</v>
      </c>
      <c r="D127" s="347">
        <f>IF(F126+SUM(E$99:E126)=D$92,F126,D$92-SUM(E$99:E126))</f>
        <v>95459.5</v>
      </c>
      <c r="E127" s="484">
        <f t="shared" si="18"/>
        <v>7045</v>
      </c>
      <c r="F127" s="485">
        <f t="shared" si="19"/>
        <v>88414.5</v>
      </c>
      <c r="G127" s="485">
        <f t="shared" si="20"/>
        <v>91937</v>
      </c>
      <c r="H127" s="486">
        <f t="shared" si="21"/>
        <v>17506.768012933688</v>
      </c>
      <c r="I127" s="542">
        <f t="shared" si="22"/>
        <v>17506.768012933688</v>
      </c>
      <c r="J127" s="478">
        <f t="shared" si="14"/>
        <v>0</v>
      </c>
      <c r="K127" s="478"/>
      <c r="L127" s="487"/>
      <c r="M127" s="478">
        <f t="shared" si="23"/>
        <v>0</v>
      </c>
      <c r="N127" s="487"/>
      <c r="O127" s="478">
        <f t="shared" si="15"/>
        <v>0</v>
      </c>
      <c r="P127" s="478">
        <f t="shared" si="16"/>
        <v>0</v>
      </c>
    </row>
    <row r="128" spans="2:16">
      <c r="B128" s="160" t="str">
        <f t="shared" si="17"/>
        <v/>
      </c>
      <c r="C128" s="472">
        <f>IF(D93="","-",+C127+1)</f>
        <v>2047</v>
      </c>
      <c r="D128" s="347">
        <f>IF(F127+SUM(E$99:E127)=D$92,F127,D$92-SUM(E$99:E127))</f>
        <v>88414.5</v>
      </c>
      <c r="E128" s="484">
        <f t="shared" si="18"/>
        <v>7045</v>
      </c>
      <c r="F128" s="485">
        <f t="shared" si="19"/>
        <v>81369.5</v>
      </c>
      <c r="G128" s="485">
        <f t="shared" si="20"/>
        <v>84892</v>
      </c>
      <c r="H128" s="486">
        <f t="shared" si="21"/>
        <v>16705.097786027025</v>
      </c>
      <c r="I128" s="542">
        <f t="shared" si="22"/>
        <v>16705.097786027025</v>
      </c>
      <c r="J128" s="478">
        <f t="shared" si="14"/>
        <v>0</v>
      </c>
      <c r="K128" s="478"/>
      <c r="L128" s="487"/>
      <c r="M128" s="478">
        <f t="shared" si="23"/>
        <v>0</v>
      </c>
      <c r="N128" s="487"/>
      <c r="O128" s="478">
        <f t="shared" si="15"/>
        <v>0</v>
      </c>
      <c r="P128" s="478">
        <f t="shared" si="16"/>
        <v>0</v>
      </c>
    </row>
    <row r="129" spans="2:16">
      <c r="B129" s="160" t="str">
        <f t="shared" si="17"/>
        <v/>
      </c>
      <c r="C129" s="472">
        <f>IF(D93="","-",+C128+1)</f>
        <v>2048</v>
      </c>
      <c r="D129" s="347">
        <f>IF(F128+SUM(E$99:E128)=D$92,F128,D$92-SUM(E$99:E128))</f>
        <v>81369.5</v>
      </c>
      <c r="E129" s="484">
        <f t="shared" si="18"/>
        <v>7045</v>
      </c>
      <c r="F129" s="485">
        <f t="shared" si="19"/>
        <v>74324.5</v>
      </c>
      <c r="G129" s="485">
        <f t="shared" si="20"/>
        <v>77847</v>
      </c>
      <c r="H129" s="486">
        <f t="shared" si="21"/>
        <v>15903.427559120362</v>
      </c>
      <c r="I129" s="542">
        <f t="shared" si="22"/>
        <v>15903.427559120362</v>
      </c>
      <c r="J129" s="478">
        <f t="shared" si="14"/>
        <v>0</v>
      </c>
      <c r="K129" s="478"/>
      <c r="L129" s="487"/>
      <c r="M129" s="478">
        <f t="shared" si="23"/>
        <v>0</v>
      </c>
      <c r="N129" s="487"/>
      <c r="O129" s="478">
        <f t="shared" si="15"/>
        <v>0</v>
      </c>
      <c r="P129" s="478">
        <f t="shared" si="16"/>
        <v>0</v>
      </c>
    </row>
    <row r="130" spans="2:16">
      <c r="B130" s="160" t="str">
        <f t="shared" si="17"/>
        <v/>
      </c>
      <c r="C130" s="472">
        <f>IF(D93="","-",+C129+1)</f>
        <v>2049</v>
      </c>
      <c r="D130" s="347">
        <f>IF(F129+SUM(E$99:E129)=D$92,F129,D$92-SUM(E$99:E129))</f>
        <v>74324.5</v>
      </c>
      <c r="E130" s="484">
        <f t="shared" si="18"/>
        <v>7045</v>
      </c>
      <c r="F130" s="485">
        <f t="shared" si="19"/>
        <v>67279.5</v>
      </c>
      <c r="G130" s="485">
        <f t="shared" si="20"/>
        <v>70802</v>
      </c>
      <c r="H130" s="486">
        <f t="shared" si="21"/>
        <v>15101.7573322137</v>
      </c>
      <c r="I130" s="542">
        <f t="shared" si="22"/>
        <v>15101.7573322137</v>
      </c>
      <c r="J130" s="478">
        <f t="shared" si="14"/>
        <v>0</v>
      </c>
      <c r="K130" s="478"/>
      <c r="L130" s="487"/>
      <c r="M130" s="478">
        <f t="shared" si="23"/>
        <v>0</v>
      </c>
      <c r="N130" s="487"/>
      <c r="O130" s="478">
        <f t="shared" si="15"/>
        <v>0</v>
      </c>
      <c r="P130" s="478">
        <f t="shared" si="16"/>
        <v>0</v>
      </c>
    </row>
    <row r="131" spans="2:16">
      <c r="B131" s="160" t="str">
        <f t="shared" si="17"/>
        <v/>
      </c>
      <c r="C131" s="472">
        <f>IF(D93="","-",+C130+1)</f>
        <v>2050</v>
      </c>
      <c r="D131" s="347">
        <f>IF(F130+SUM(E$99:E130)=D$92,F130,D$92-SUM(E$99:E130))</f>
        <v>67279.5</v>
      </c>
      <c r="E131" s="484">
        <f t="shared" si="18"/>
        <v>7045</v>
      </c>
      <c r="F131" s="485">
        <f t="shared" si="19"/>
        <v>60234.5</v>
      </c>
      <c r="G131" s="485">
        <f t="shared" si="20"/>
        <v>63757</v>
      </c>
      <c r="H131" s="486">
        <f t="shared" si="21"/>
        <v>14300.087105307037</v>
      </c>
      <c r="I131" s="542">
        <f t="shared" si="22"/>
        <v>14300.087105307037</v>
      </c>
      <c r="J131" s="478">
        <f t="shared" ref="J131:J154" si="24">+I541-H541</f>
        <v>0</v>
      </c>
      <c r="K131" s="478"/>
      <c r="L131" s="487"/>
      <c r="M131" s="478">
        <f t="shared" ref="M131:M154" si="25">IF(L541&lt;&gt;0,+H541-L541,0)</f>
        <v>0</v>
      </c>
      <c r="N131" s="487"/>
      <c r="O131" s="478">
        <f t="shared" ref="O131:O154" si="26">IF(N541&lt;&gt;0,+I541-N541,0)</f>
        <v>0</v>
      </c>
      <c r="P131" s="478">
        <f t="shared" ref="P131:P154" si="27">+O541-M541</f>
        <v>0</v>
      </c>
    </row>
    <row r="132" spans="2:16">
      <c r="B132" s="160" t="str">
        <f t="shared" si="17"/>
        <v/>
      </c>
      <c r="C132" s="472">
        <f>IF(D93="","-",+C131+1)</f>
        <v>2051</v>
      </c>
      <c r="D132" s="347">
        <f>IF(F131+SUM(E$99:E131)=D$92,F131,D$92-SUM(E$99:E131))</f>
        <v>60234.5</v>
      </c>
      <c r="E132" s="484">
        <f t="shared" si="18"/>
        <v>7045</v>
      </c>
      <c r="F132" s="485">
        <f t="shared" si="19"/>
        <v>53189.5</v>
      </c>
      <c r="G132" s="485">
        <f t="shared" si="20"/>
        <v>56712</v>
      </c>
      <c r="H132" s="486">
        <f t="shared" si="21"/>
        <v>13498.416878400374</v>
      </c>
      <c r="I132" s="542">
        <f t="shared" si="22"/>
        <v>13498.416878400374</v>
      </c>
      <c r="J132" s="478">
        <f t="shared" si="24"/>
        <v>0</v>
      </c>
      <c r="K132" s="478"/>
      <c r="L132" s="487"/>
      <c r="M132" s="478">
        <f t="shared" si="25"/>
        <v>0</v>
      </c>
      <c r="N132" s="487"/>
      <c r="O132" s="478">
        <f t="shared" si="26"/>
        <v>0</v>
      </c>
      <c r="P132" s="478">
        <f t="shared" si="27"/>
        <v>0</v>
      </c>
    </row>
    <row r="133" spans="2:16">
      <c r="B133" s="160" t="str">
        <f t="shared" si="17"/>
        <v/>
      </c>
      <c r="C133" s="472">
        <f>IF(D93="","-",+C132+1)</f>
        <v>2052</v>
      </c>
      <c r="D133" s="347">
        <f>IF(F132+SUM(E$99:E132)=D$92,F132,D$92-SUM(E$99:E132))</f>
        <v>53189.5</v>
      </c>
      <c r="E133" s="484">
        <f t="shared" si="18"/>
        <v>7045</v>
      </c>
      <c r="F133" s="485">
        <f t="shared" si="19"/>
        <v>46144.5</v>
      </c>
      <c r="G133" s="485">
        <f t="shared" si="20"/>
        <v>49667</v>
      </c>
      <c r="H133" s="486">
        <f t="shared" si="21"/>
        <v>12696.746651493713</v>
      </c>
      <c r="I133" s="542">
        <f t="shared" si="22"/>
        <v>12696.746651493713</v>
      </c>
      <c r="J133" s="478">
        <f t="shared" si="24"/>
        <v>0</v>
      </c>
      <c r="K133" s="478"/>
      <c r="L133" s="487"/>
      <c r="M133" s="478">
        <f t="shared" si="25"/>
        <v>0</v>
      </c>
      <c r="N133" s="487"/>
      <c r="O133" s="478">
        <f t="shared" si="26"/>
        <v>0</v>
      </c>
      <c r="P133" s="478">
        <f t="shared" si="27"/>
        <v>0</v>
      </c>
    </row>
    <row r="134" spans="2:16">
      <c r="B134" s="160" t="str">
        <f t="shared" si="17"/>
        <v/>
      </c>
      <c r="C134" s="472">
        <f>IF(D93="","-",+C133+1)</f>
        <v>2053</v>
      </c>
      <c r="D134" s="347">
        <f>IF(F133+SUM(E$99:E133)=D$92,F133,D$92-SUM(E$99:E133))</f>
        <v>46144.5</v>
      </c>
      <c r="E134" s="484">
        <f t="shared" si="18"/>
        <v>7045</v>
      </c>
      <c r="F134" s="485">
        <f t="shared" si="19"/>
        <v>39099.5</v>
      </c>
      <c r="G134" s="485">
        <f t="shared" si="20"/>
        <v>42622</v>
      </c>
      <c r="H134" s="486">
        <f t="shared" si="21"/>
        <v>11895.07642458705</v>
      </c>
      <c r="I134" s="542">
        <f t="shared" si="22"/>
        <v>11895.07642458705</v>
      </c>
      <c r="J134" s="478">
        <f t="shared" si="24"/>
        <v>0</v>
      </c>
      <c r="K134" s="478"/>
      <c r="L134" s="487"/>
      <c r="M134" s="478">
        <f t="shared" si="25"/>
        <v>0</v>
      </c>
      <c r="N134" s="487"/>
      <c r="O134" s="478">
        <f t="shared" si="26"/>
        <v>0</v>
      </c>
      <c r="P134" s="478">
        <f t="shared" si="27"/>
        <v>0</v>
      </c>
    </row>
    <row r="135" spans="2:16">
      <c r="B135" s="160" t="str">
        <f t="shared" si="17"/>
        <v/>
      </c>
      <c r="C135" s="472">
        <f>IF(D93="","-",+C134+1)</f>
        <v>2054</v>
      </c>
      <c r="D135" s="347">
        <f>IF(F134+SUM(E$99:E134)=D$92,F134,D$92-SUM(E$99:E134))</f>
        <v>39099.5</v>
      </c>
      <c r="E135" s="484">
        <f t="shared" si="18"/>
        <v>7045</v>
      </c>
      <c r="F135" s="485">
        <f t="shared" si="19"/>
        <v>32054.5</v>
      </c>
      <c r="G135" s="485">
        <f t="shared" si="20"/>
        <v>35577</v>
      </c>
      <c r="H135" s="486">
        <f t="shared" si="21"/>
        <v>11093.406197680388</v>
      </c>
      <c r="I135" s="542">
        <f t="shared" si="22"/>
        <v>11093.406197680388</v>
      </c>
      <c r="J135" s="478">
        <f t="shared" si="24"/>
        <v>0</v>
      </c>
      <c r="K135" s="478"/>
      <c r="L135" s="487"/>
      <c r="M135" s="478">
        <f t="shared" si="25"/>
        <v>0</v>
      </c>
      <c r="N135" s="487"/>
      <c r="O135" s="478">
        <f t="shared" si="26"/>
        <v>0</v>
      </c>
      <c r="P135" s="478">
        <f t="shared" si="27"/>
        <v>0</v>
      </c>
    </row>
    <row r="136" spans="2:16">
      <c r="B136" s="160" t="str">
        <f t="shared" si="17"/>
        <v/>
      </c>
      <c r="C136" s="472">
        <f>IF(D93="","-",+C135+1)</f>
        <v>2055</v>
      </c>
      <c r="D136" s="347">
        <f>IF(F135+SUM(E$99:E135)=D$92,F135,D$92-SUM(E$99:E135))</f>
        <v>32054.5</v>
      </c>
      <c r="E136" s="484">
        <f t="shared" si="18"/>
        <v>7045</v>
      </c>
      <c r="F136" s="485">
        <f t="shared" si="19"/>
        <v>25009.5</v>
      </c>
      <c r="G136" s="485">
        <f t="shared" si="20"/>
        <v>28532</v>
      </c>
      <c r="H136" s="486">
        <f t="shared" si="21"/>
        <v>10291.735970773725</v>
      </c>
      <c r="I136" s="542">
        <f t="shared" si="22"/>
        <v>10291.735970773725</v>
      </c>
      <c r="J136" s="478">
        <f t="shared" si="24"/>
        <v>0</v>
      </c>
      <c r="K136" s="478"/>
      <c r="L136" s="487"/>
      <c r="M136" s="478">
        <f t="shared" si="25"/>
        <v>0</v>
      </c>
      <c r="N136" s="487"/>
      <c r="O136" s="478">
        <f t="shared" si="26"/>
        <v>0</v>
      </c>
      <c r="P136" s="478">
        <f t="shared" si="27"/>
        <v>0</v>
      </c>
    </row>
    <row r="137" spans="2:16">
      <c r="B137" s="160" t="str">
        <f t="shared" si="17"/>
        <v/>
      </c>
      <c r="C137" s="472">
        <f>IF(D93="","-",+C136+1)</f>
        <v>2056</v>
      </c>
      <c r="D137" s="347">
        <f>IF(F136+SUM(E$99:E136)=D$92,F136,D$92-SUM(E$99:E136))</f>
        <v>25009.5</v>
      </c>
      <c r="E137" s="484">
        <f t="shared" si="18"/>
        <v>7045</v>
      </c>
      <c r="F137" s="485">
        <f t="shared" si="19"/>
        <v>17964.5</v>
      </c>
      <c r="G137" s="485">
        <f t="shared" si="20"/>
        <v>21487</v>
      </c>
      <c r="H137" s="486">
        <f t="shared" si="21"/>
        <v>9490.0657438670623</v>
      </c>
      <c r="I137" s="542">
        <f t="shared" si="22"/>
        <v>9490.0657438670623</v>
      </c>
      <c r="J137" s="478">
        <f t="shared" si="24"/>
        <v>0</v>
      </c>
      <c r="K137" s="478"/>
      <c r="L137" s="487"/>
      <c r="M137" s="478">
        <f t="shared" si="25"/>
        <v>0</v>
      </c>
      <c r="N137" s="487"/>
      <c r="O137" s="478">
        <f t="shared" si="26"/>
        <v>0</v>
      </c>
      <c r="P137" s="478">
        <f t="shared" si="27"/>
        <v>0</v>
      </c>
    </row>
    <row r="138" spans="2:16">
      <c r="B138" s="160" t="str">
        <f t="shared" si="17"/>
        <v/>
      </c>
      <c r="C138" s="472">
        <f>IF(D93="","-",+C137+1)</f>
        <v>2057</v>
      </c>
      <c r="D138" s="347">
        <f>IF(F137+SUM(E$99:E137)=D$92,F137,D$92-SUM(E$99:E137))</f>
        <v>17964.5</v>
      </c>
      <c r="E138" s="484">
        <f t="shared" si="18"/>
        <v>7045</v>
      </c>
      <c r="F138" s="485">
        <f t="shared" si="19"/>
        <v>10919.5</v>
      </c>
      <c r="G138" s="485">
        <f t="shared" si="20"/>
        <v>14442</v>
      </c>
      <c r="H138" s="486">
        <f t="shared" si="21"/>
        <v>8688.3955169603996</v>
      </c>
      <c r="I138" s="542">
        <f t="shared" si="22"/>
        <v>8688.3955169603996</v>
      </c>
      <c r="J138" s="478">
        <f t="shared" si="24"/>
        <v>0</v>
      </c>
      <c r="K138" s="478"/>
      <c r="L138" s="487"/>
      <c r="M138" s="478">
        <f t="shared" si="25"/>
        <v>0</v>
      </c>
      <c r="N138" s="487"/>
      <c r="O138" s="478">
        <f t="shared" si="26"/>
        <v>0</v>
      </c>
      <c r="P138" s="478">
        <f t="shared" si="27"/>
        <v>0</v>
      </c>
    </row>
    <row r="139" spans="2:16">
      <c r="B139" s="160" t="str">
        <f t="shared" si="17"/>
        <v/>
      </c>
      <c r="C139" s="472">
        <f>IF(D93="","-",+C138+1)</f>
        <v>2058</v>
      </c>
      <c r="D139" s="347">
        <f>IF(F138+SUM(E$99:E138)=D$92,F138,D$92-SUM(E$99:E138))</f>
        <v>10919.5</v>
      </c>
      <c r="E139" s="484">
        <f t="shared" si="18"/>
        <v>7045</v>
      </c>
      <c r="F139" s="485">
        <f t="shared" si="19"/>
        <v>3874.5</v>
      </c>
      <c r="G139" s="485">
        <f t="shared" si="20"/>
        <v>7397</v>
      </c>
      <c r="H139" s="486">
        <f t="shared" si="21"/>
        <v>7886.7252900537378</v>
      </c>
      <c r="I139" s="542">
        <f t="shared" si="22"/>
        <v>7886.7252900537378</v>
      </c>
      <c r="J139" s="478">
        <f t="shared" si="24"/>
        <v>0</v>
      </c>
      <c r="K139" s="478"/>
      <c r="L139" s="487"/>
      <c r="M139" s="478">
        <f t="shared" si="25"/>
        <v>0</v>
      </c>
      <c r="N139" s="487"/>
      <c r="O139" s="478">
        <f t="shared" si="26"/>
        <v>0</v>
      </c>
      <c r="P139" s="478">
        <f t="shared" si="27"/>
        <v>0</v>
      </c>
    </row>
    <row r="140" spans="2:16">
      <c r="B140" s="160" t="str">
        <f t="shared" si="17"/>
        <v/>
      </c>
      <c r="C140" s="472">
        <f>IF(D93="","-",+C139+1)</f>
        <v>2059</v>
      </c>
      <c r="D140" s="347">
        <f>IF(F139+SUM(E$99:E139)=D$92,F139,D$92-SUM(E$99:E139))</f>
        <v>3874.5</v>
      </c>
      <c r="E140" s="484">
        <f t="shared" si="18"/>
        <v>3874.5</v>
      </c>
      <c r="F140" s="485">
        <f t="shared" si="19"/>
        <v>0</v>
      </c>
      <c r="G140" s="485">
        <f t="shared" si="20"/>
        <v>1937.25</v>
      </c>
      <c r="H140" s="486">
        <f t="shared" si="21"/>
        <v>4094.9450883002032</v>
      </c>
      <c r="I140" s="542">
        <f t="shared" si="22"/>
        <v>4094.9450883002032</v>
      </c>
      <c r="J140" s="478">
        <f t="shared" si="24"/>
        <v>0</v>
      </c>
      <c r="K140" s="478"/>
      <c r="L140" s="487"/>
      <c r="M140" s="478">
        <f t="shared" si="25"/>
        <v>0</v>
      </c>
      <c r="N140" s="487"/>
      <c r="O140" s="478">
        <f t="shared" si="26"/>
        <v>0</v>
      </c>
      <c r="P140" s="478">
        <f t="shared" si="27"/>
        <v>0</v>
      </c>
    </row>
    <row r="141" spans="2:16">
      <c r="B141" s="160" t="str">
        <f t="shared" si="17"/>
        <v/>
      </c>
      <c r="C141" s="472">
        <f>IF(D93="","-",+C140+1)</f>
        <v>2060</v>
      </c>
      <c r="D141" s="347">
        <f>IF(F140+SUM(E$99:E140)=D$92,F140,D$92-SUM(E$99:E140))</f>
        <v>0</v>
      </c>
      <c r="E141" s="484">
        <f t="shared" si="18"/>
        <v>0</v>
      </c>
      <c r="F141" s="485">
        <f t="shared" si="19"/>
        <v>0</v>
      </c>
      <c r="G141" s="485">
        <f t="shared" si="20"/>
        <v>0</v>
      </c>
      <c r="H141" s="486">
        <f t="shared" si="21"/>
        <v>0</v>
      </c>
      <c r="I141" s="542">
        <f t="shared" si="22"/>
        <v>0</v>
      </c>
      <c r="J141" s="478">
        <f t="shared" si="24"/>
        <v>0</v>
      </c>
      <c r="K141" s="478"/>
      <c r="L141" s="487"/>
      <c r="M141" s="478">
        <f t="shared" si="25"/>
        <v>0</v>
      </c>
      <c r="N141" s="487"/>
      <c r="O141" s="478">
        <f t="shared" si="26"/>
        <v>0</v>
      </c>
      <c r="P141" s="478">
        <f t="shared" si="27"/>
        <v>0</v>
      </c>
    </row>
    <row r="142" spans="2:16">
      <c r="B142" s="160" t="str">
        <f t="shared" si="17"/>
        <v/>
      </c>
      <c r="C142" s="472">
        <f>IF(D93="","-",+C141+1)</f>
        <v>2061</v>
      </c>
      <c r="D142" s="347">
        <f>IF(F141+SUM(E$99:E141)=D$92,F141,D$92-SUM(E$99:E141))</f>
        <v>0</v>
      </c>
      <c r="E142" s="484">
        <f t="shared" si="18"/>
        <v>0</v>
      </c>
      <c r="F142" s="485">
        <f t="shared" si="19"/>
        <v>0</v>
      </c>
      <c r="G142" s="485">
        <f t="shared" si="20"/>
        <v>0</v>
      </c>
      <c r="H142" s="486">
        <f t="shared" si="21"/>
        <v>0</v>
      </c>
      <c r="I142" s="542">
        <f t="shared" si="22"/>
        <v>0</v>
      </c>
      <c r="J142" s="478">
        <f t="shared" si="24"/>
        <v>0</v>
      </c>
      <c r="K142" s="478"/>
      <c r="L142" s="487"/>
      <c r="M142" s="478">
        <f t="shared" si="25"/>
        <v>0</v>
      </c>
      <c r="N142" s="487"/>
      <c r="O142" s="478">
        <f t="shared" si="26"/>
        <v>0</v>
      </c>
      <c r="P142" s="478">
        <f t="shared" si="27"/>
        <v>0</v>
      </c>
    </row>
    <row r="143" spans="2:16">
      <c r="B143" s="160" t="str">
        <f t="shared" si="17"/>
        <v/>
      </c>
      <c r="C143" s="472">
        <f>IF(D93="","-",+C142+1)</f>
        <v>2062</v>
      </c>
      <c r="D143" s="347">
        <f>IF(F142+SUM(E$99:E142)=D$92,F142,D$92-SUM(E$99:E142))</f>
        <v>0</v>
      </c>
      <c r="E143" s="484">
        <f t="shared" si="18"/>
        <v>0</v>
      </c>
      <c r="F143" s="485">
        <f t="shared" si="19"/>
        <v>0</v>
      </c>
      <c r="G143" s="485">
        <f t="shared" si="20"/>
        <v>0</v>
      </c>
      <c r="H143" s="486">
        <f t="shared" si="21"/>
        <v>0</v>
      </c>
      <c r="I143" s="542">
        <f t="shared" si="22"/>
        <v>0</v>
      </c>
      <c r="J143" s="478">
        <f t="shared" si="24"/>
        <v>0</v>
      </c>
      <c r="K143" s="478"/>
      <c r="L143" s="487"/>
      <c r="M143" s="478">
        <f t="shared" si="25"/>
        <v>0</v>
      </c>
      <c r="N143" s="487"/>
      <c r="O143" s="478">
        <f t="shared" si="26"/>
        <v>0</v>
      </c>
      <c r="P143" s="478">
        <f t="shared" si="27"/>
        <v>0</v>
      </c>
    </row>
    <row r="144" spans="2:16">
      <c r="B144" s="160" t="str">
        <f t="shared" si="17"/>
        <v/>
      </c>
      <c r="C144" s="472">
        <f>IF(D93="","-",+C143+1)</f>
        <v>2063</v>
      </c>
      <c r="D144" s="347">
        <f>IF(F143+SUM(E$99:E143)=D$92,F143,D$92-SUM(E$99:E143))</f>
        <v>0</v>
      </c>
      <c r="E144" s="484">
        <f t="shared" si="18"/>
        <v>0</v>
      </c>
      <c r="F144" s="485">
        <f t="shared" si="19"/>
        <v>0</v>
      </c>
      <c r="G144" s="485">
        <f t="shared" si="20"/>
        <v>0</v>
      </c>
      <c r="H144" s="486">
        <f t="shared" si="21"/>
        <v>0</v>
      </c>
      <c r="I144" s="542">
        <f t="shared" si="22"/>
        <v>0</v>
      </c>
      <c r="J144" s="478">
        <f t="shared" si="24"/>
        <v>0</v>
      </c>
      <c r="K144" s="478"/>
      <c r="L144" s="487"/>
      <c r="M144" s="478">
        <f t="shared" si="25"/>
        <v>0</v>
      </c>
      <c r="N144" s="487"/>
      <c r="O144" s="478">
        <f t="shared" si="26"/>
        <v>0</v>
      </c>
      <c r="P144" s="478">
        <f t="shared" si="27"/>
        <v>0</v>
      </c>
    </row>
    <row r="145" spans="2:16">
      <c r="B145" s="160" t="str">
        <f t="shared" si="17"/>
        <v/>
      </c>
      <c r="C145" s="472">
        <f>IF(D93="","-",+C144+1)</f>
        <v>2064</v>
      </c>
      <c r="D145" s="347">
        <f>IF(F144+SUM(E$99:E144)=D$92,F144,D$92-SUM(E$99:E144))</f>
        <v>0</v>
      </c>
      <c r="E145" s="484">
        <f t="shared" si="18"/>
        <v>0</v>
      </c>
      <c r="F145" s="485">
        <f t="shared" si="19"/>
        <v>0</v>
      </c>
      <c r="G145" s="485">
        <f t="shared" si="20"/>
        <v>0</v>
      </c>
      <c r="H145" s="486">
        <f t="shared" si="21"/>
        <v>0</v>
      </c>
      <c r="I145" s="542">
        <f t="shared" si="22"/>
        <v>0</v>
      </c>
      <c r="J145" s="478">
        <f t="shared" si="24"/>
        <v>0</v>
      </c>
      <c r="K145" s="478"/>
      <c r="L145" s="487"/>
      <c r="M145" s="478">
        <f t="shared" si="25"/>
        <v>0</v>
      </c>
      <c r="N145" s="487"/>
      <c r="O145" s="478">
        <f t="shared" si="26"/>
        <v>0</v>
      </c>
      <c r="P145" s="478">
        <f t="shared" si="27"/>
        <v>0</v>
      </c>
    </row>
    <row r="146" spans="2:16">
      <c r="B146" s="160" t="str">
        <f t="shared" si="17"/>
        <v/>
      </c>
      <c r="C146" s="472">
        <f>IF(D93="","-",+C145+1)</f>
        <v>2065</v>
      </c>
      <c r="D146" s="347">
        <f>IF(F145+SUM(E$99:E145)=D$92,F145,D$92-SUM(E$99:E145))</f>
        <v>0</v>
      </c>
      <c r="E146" s="484">
        <f t="shared" si="18"/>
        <v>0</v>
      </c>
      <c r="F146" s="485">
        <f t="shared" si="19"/>
        <v>0</v>
      </c>
      <c r="G146" s="485">
        <f t="shared" si="20"/>
        <v>0</v>
      </c>
      <c r="H146" s="486">
        <f t="shared" si="21"/>
        <v>0</v>
      </c>
      <c r="I146" s="542">
        <f t="shared" si="22"/>
        <v>0</v>
      </c>
      <c r="J146" s="478">
        <f t="shared" si="24"/>
        <v>0</v>
      </c>
      <c r="K146" s="478"/>
      <c r="L146" s="487"/>
      <c r="M146" s="478">
        <f t="shared" si="25"/>
        <v>0</v>
      </c>
      <c r="N146" s="487"/>
      <c r="O146" s="478">
        <f t="shared" si="26"/>
        <v>0</v>
      </c>
      <c r="P146" s="478">
        <f t="shared" si="27"/>
        <v>0</v>
      </c>
    </row>
    <row r="147" spans="2:16">
      <c r="B147" s="160" t="str">
        <f t="shared" si="17"/>
        <v/>
      </c>
      <c r="C147" s="472">
        <f>IF(D93="","-",+C146+1)</f>
        <v>2066</v>
      </c>
      <c r="D147" s="347">
        <f>IF(F146+SUM(E$99:E146)=D$92,F146,D$92-SUM(E$99:E146))</f>
        <v>0</v>
      </c>
      <c r="E147" s="484">
        <f t="shared" si="18"/>
        <v>0</v>
      </c>
      <c r="F147" s="485">
        <f t="shared" si="19"/>
        <v>0</v>
      </c>
      <c r="G147" s="485">
        <f t="shared" si="20"/>
        <v>0</v>
      </c>
      <c r="H147" s="486">
        <f t="shared" si="21"/>
        <v>0</v>
      </c>
      <c r="I147" s="542">
        <f t="shared" si="22"/>
        <v>0</v>
      </c>
      <c r="J147" s="478">
        <f t="shared" si="24"/>
        <v>0</v>
      </c>
      <c r="K147" s="478"/>
      <c r="L147" s="487"/>
      <c r="M147" s="478">
        <f t="shared" si="25"/>
        <v>0</v>
      </c>
      <c r="N147" s="487"/>
      <c r="O147" s="478">
        <f t="shared" si="26"/>
        <v>0</v>
      </c>
      <c r="P147" s="478">
        <f t="shared" si="27"/>
        <v>0</v>
      </c>
    </row>
    <row r="148" spans="2:16">
      <c r="B148" s="160" t="str">
        <f t="shared" si="17"/>
        <v/>
      </c>
      <c r="C148" s="472">
        <f>IF(D93="","-",+C147+1)</f>
        <v>2067</v>
      </c>
      <c r="D148" s="347">
        <f>IF(F147+SUM(E$99:E147)=D$92,F147,D$92-SUM(E$99:E147))</f>
        <v>0</v>
      </c>
      <c r="E148" s="484">
        <f t="shared" si="18"/>
        <v>0</v>
      </c>
      <c r="F148" s="485">
        <f t="shared" si="19"/>
        <v>0</v>
      </c>
      <c r="G148" s="485">
        <f t="shared" si="20"/>
        <v>0</v>
      </c>
      <c r="H148" s="486">
        <f t="shared" si="21"/>
        <v>0</v>
      </c>
      <c r="I148" s="542">
        <f t="shared" si="22"/>
        <v>0</v>
      </c>
      <c r="J148" s="478">
        <f t="shared" si="24"/>
        <v>0</v>
      </c>
      <c r="K148" s="478"/>
      <c r="L148" s="487"/>
      <c r="M148" s="478">
        <f t="shared" si="25"/>
        <v>0</v>
      </c>
      <c r="N148" s="487"/>
      <c r="O148" s="478">
        <f t="shared" si="26"/>
        <v>0</v>
      </c>
      <c r="P148" s="478">
        <f t="shared" si="27"/>
        <v>0</v>
      </c>
    </row>
    <row r="149" spans="2:16">
      <c r="B149" s="160" t="str">
        <f t="shared" si="17"/>
        <v/>
      </c>
      <c r="C149" s="472">
        <f>IF(D93="","-",+C148+1)</f>
        <v>2068</v>
      </c>
      <c r="D149" s="347">
        <f>IF(F148+SUM(E$99:E148)=D$92,F148,D$92-SUM(E$99:E148))</f>
        <v>0</v>
      </c>
      <c r="E149" s="484">
        <f t="shared" si="18"/>
        <v>0</v>
      </c>
      <c r="F149" s="485">
        <f t="shared" si="19"/>
        <v>0</v>
      </c>
      <c r="G149" s="485">
        <f t="shared" si="20"/>
        <v>0</v>
      </c>
      <c r="H149" s="486">
        <f t="shared" si="21"/>
        <v>0</v>
      </c>
      <c r="I149" s="542">
        <f t="shared" si="22"/>
        <v>0</v>
      </c>
      <c r="J149" s="478">
        <f t="shared" si="24"/>
        <v>0</v>
      </c>
      <c r="K149" s="478"/>
      <c r="L149" s="487"/>
      <c r="M149" s="478">
        <f t="shared" si="25"/>
        <v>0</v>
      </c>
      <c r="N149" s="487"/>
      <c r="O149" s="478">
        <f t="shared" si="26"/>
        <v>0</v>
      </c>
      <c r="P149" s="478">
        <f t="shared" si="27"/>
        <v>0</v>
      </c>
    </row>
    <row r="150" spans="2:16">
      <c r="B150" s="160" t="str">
        <f t="shared" si="17"/>
        <v/>
      </c>
      <c r="C150" s="472">
        <f>IF(D93="","-",+C149+1)</f>
        <v>2069</v>
      </c>
      <c r="D150" s="347">
        <f>IF(F149+SUM(E$99:E149)=D$92,F149,D$92-SUM(E$99:E149))</f>
        <v>0</v>
      </c>
      <c r="E150" s="484">
        <f t="shared" si="18"/>
        <v>0</v>
      </c>
      <c r="F150" s="485">
        <f t="shared" si="19"/>
        <v>0</v>
      </c>
      <c r="G150" s="485">
        <f t="shared" si="20"/>
        <v>0</v>
      </c>
      <c r="H150" s="486">
        <f t="shared" si="21"/>
        <v>0</v>
      </c>
      <c r="I150" s="542">
        <f t="shared" si="22"/>
        <v>0</v>
      </c>
      <c r="J150" s="478">
        <f t="shared" si="24"/>
        <v>0</v>
      </c>
      <c r="K150" s="478"/>
      <c r="L150" s="487"/>
      <c r="M150" s="478">
        <f t="shared" si="25"/>
        <v>0</v>
      </c>
      <c r="N150" s="487"/>
      <c r="O150" s="478">
        <f t="shared" si="26"/>
        <v>0</v>
      </c>
      <c r="P150" s="478">
        <f t="shared" si="27"/>
        <v>0</v>
      </c>
    </row>
    <row r="151" spans="2:16">
      <c r="B151" s="160" t="str">
        <f t="shared" si="17"/>
        <v/>
      </c>
      <c r="C151" s="472">
        <f>IF(D93="","-",+C150+1)</f>
        <v>2070</v>
      </c>
      <c r="D151" s="347">
        <f>IF(F150+SUM(E$99:E150)=D$92,F150,D$92-SUM(E$99:E150))</f>
        <v>0</v>
      </c>
      <c r="E151" s="484">
        <f t="shared" si="18"/>
        <v>0</v>
      </c>
      <c r="F151" s="485">
        <f t="shared" si="19"/>
        <v>0</v>
      </c>
      <c r="G151" s="485">
        <f t="shared" si="20"/>
        <v>0</v>
      </c>
      <c r="H151" s="486">
        <f t="shared" si="21"/>
        <v>0</v>
      </c>
      <c r="I151" s="542">
        <f t="shared" si="22"/>
        <v>0</v>
      </c>
      <c r="J151" s="478">
        <f t="shared" si="24"/>
        <v>0</v>
      </c>
      <c r="K151" s="478"/>
      <c r="L151" s="487"/>
      <c r="M151" s="478">
        <f t="shared" si="25"/>
        <v>0</v>
      </c>
      <c r="N151" s="487"/>
      <c r="O151" s="478">
        <f t="shared" si="26"/>
        <v>0</v>
      </c>
      <c r="P151" s="478">
        <f t="shared" si="27"/>
        <v>0</v>
      </c>
    </row>
    <row r="152" spans="2:16">
      <c r="B152" s="160" t="str">
        <f t="shared" si="17"/>
        <v/>
      </c>
      <c r="C152" s="472">
        <f>IF(D93="","-",+C151+1)</f>
        <v>2071</v>
      </c>
      <c r="D152" s="347">
        <f>IF(F151+SUM(E$99:E151)=D$92,F151,D$92-SUM(E$99:E151))</f>
        <v>0</v>
      </c>
      <c r="E152" s="484">
        <f t="shared" si="18"/>
        <v>0</v>
      </c>
      <c r="F152" s="485">
        <f t="shared" si="19"/>
        <v>0</v>
      </c>
      <c r="G152" s="485">
        <f t="shared" si="20"/>
        <v>0</v>
      </c>
      <c r="H152" s="486">
        <f t="shared" si="21"/>
        <v>0</v>
      </c>
      <c r="I152" s="542">
        <f t="shared" si="22"/>
        <v>0</v>
      </c>
      <c r="J152" s="478">
        <f t="shared" si="24"/>
        <v>0</v>
      </c>
      <c r="K152" s="478"/>
      <c r="L152" s="487"/>
      <c r="M152" s="478">
        <f t="shared" si="25"/>
        <v>0</v>
      </c>
      <c r="N152" s="487"/>
      <c r="O152" s="478">
        <f t="shared" si="26"/>
        <v>0</v>
      </c>
      <c r="P152" s="478">
        <f t="shared" si="27"/>
        <v>0</v>
      </c>
    </row>
    <row r="153" spans="2:16">
      <c r="B153" s="160" t="str">
        <f t="shared" si="17"/>
        <v/>
      </c>
      <c r="C153" s="472">
        <f>IF(D93="","-",+C152+1)</f>
        <v>2072</v>
      </c>
      <c r="D153" s="347">
        <f>IF(F152+SUM(E$99:E152)=D$92,F152,D$92-SUM(E$99:E152))</f>
        <v>0</v>
      </c>
      <c r="E153" s="484">
        <f t="shared" si="18"/>
        <v>0</v>
      </c>
      <c r="F153" s="485">
        <f t="shared" si="19"/>
        <v>0</v>
      </c>
      <c r="G153" s="485">
        <f t="shared" si="20"/>
        <v>0</v>
      </c>
      <c r="H153" s="486">
        <f t="shared" si="21"/>
        <v>0</v>
      </c>
      <c r="I153" s="542">
        <f t="shared" si="22"/>
        <v>0</v>
      </c>
      <c r="J153" s="478">
        <f t="shared" si="24"/>
        <v>0</v>
      </c>
      <c r="K153" s="478"/>
      <c r="L153" s="487"/>
      <c r="M153" s="478">
        <f t="shared" si="25"/>
        <v>0</v>
      </c>
      <c r="N153" s="487"/>
      <c r="O153" s="478">
        <f t="shared" si="26"/>
        <v>0</v>
      </c>
      <c r="P153" s="478">
        <f t="shared" si="27"/>
        <v>0</v>
      </c>
    </row>
    <row r="154" spans="2:16" ht="13.5" thickBot="1">
      <c r="B154" s="160" t="str">
        <f t="shared" si="17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18"/>
        <v>0</v>
      </c>
      <c r="F154" s="490">
        <f t="shared" si="19"/>
        <v>0</v>
      </c>
      <c r="G154" s="490">
        <f t="shared" si="20"/>
        <v>0</v>
      </c>
      <c r="H154" s="613">
        <f t="shared" ref="H154" si="28">+J$94*G154+E154</f>
        <v>0</v>
      </c>
      <c r="I154" s="614">
        <f t="shared" ref="I154" si="29">+J$95*G154+E154</f>
        <v>0</v>
      </c>
      <c r="J154" s="495">
        <f t="shared" si="24"/>
        <v>0</v>
      </c>
      <c r="K154" s="478"/>
      <c r="L154" s="494"/>
      <c r="M154" s="495">
        <f t="shared" si="25"/>
        <v>0</v>
      </c>
      <c r="N154" s="494"/>
      <c r="O154" s="495">
        <f t="shared" si="26"/>
        <v>0</v>
      </c>
      <c r="P154" s="495">
        <f t="shared" si="27"/>
        <v>0</v>
      </c>
    </row>
    <row r="155" spans="2:16">
      <c r="C155" s="347" t="s">
        <v>77</v>
      </c>
      <c r="D155" s="348"/>
      <c r="E155" s="348">
        <f>SUM(E99:E154)</f>
        <v>288860</v>
      </c>
      <c r="F155" s="348"/>
      <c r="G155" s="348"/>
      <c r="H155" s="348">
        <f>SUM(H99:H154)</f>
        <v>960737.2663553711</v>
      </c>
      <c r="I155" s="348">
        <f>SUM(I99:I154)</f>
        <v>960737.2663553711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11" priority="1" stopIfTrue="1" operator="equal">
      <formula>$I$10</formula>
    </cfRule>
  </conditionalFormatting>
  <conditionalFormatting sqref="C99:C154">
    <cfRule type="cellIs" dxfId="10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162"/>
  <sheetViews>
    <sheetView zoomScale="86" zoomScaleNormal="86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26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1203224.4158022963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1203224.4158022963</v>
      </c>
      <c r="O6" s="233"/>
      <c r="P6" s="233"/>
    </row>
    <row r="7" spans="1:16" ht="13.5" thickBot="1">
      <c r="C7" s="431" t="s">
        <v>46</v>
      </c>
      <c r="D7" s="104" t="s">
        <v>342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344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8147277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2019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189471.55813953487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2019</v>
      </c>
      <c r="D17" s="584">
        <v>0</v>
      </c>
      <c r="E17" s="608">
        <v>0</v>
      </c>
      <c r="F17" s="584">
        <v>5024000</v>
      </c>
      <c r="G17" s="608">
        <v>280481.45781944925</v>
      </c>
      <c r="H17" s="587">
        <v>280481.45781944925</v>
      </c>
      <c r="I17" s="475">
        <f>H17-G17</f>
        <v>0</v>
      </c>
      <c r="J17" s="475"/>
      <c r="K17" s="554">
        <f>+G17</f>
        <v>280481.45781944925</v>
      </c>
      <c r="L17" s="477">
        <f t="shared" ref="L17:L18" si="0">IF(K17&lt;&gt;0,+G17-K17,0)</f>
        <v>0</v>
      </c>
      <c r="M17" s="554">
        <f>+H17</f>
        <v>280481.45781944925</v>
      </c>
      <c r="N17" s="477">
        <f t="shared" ref="N17:N72" si="1">IF(M17&lt;&gt;0,+H17-M17,0)</f>
        <v>0</v>
      </c>
      <c r="O17" s="478">
        <f t="shared" ref="O17:O72" si="2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2020</v>
      </c>
      <c r="D18" s="584">
        <v>7156000</v>
      </c>
      <c r="E18" s="585">
        <v>170380.95238095237</v>
      </c>
      <c r="F18" s="584">
        <v>6985619.0476190476</v>
      </c>
      <c r="G18" s="585">
        <v>934062.15757277235</v>
      </c>
      <c r="H18" s="587">
        <v>934062.15757277235</v>
      </c>
      <c r="I18" s="475">
        <f>H18-G18</f>
        <v>0</v>
      </c>
      <c r="J18" s="475"/>
      <c r="K18" s="478">
        <f>+G18</f>
        <v>934062.15757277235</v>
      </c>
      <c r="L18" s="478">
        <f t="shared" si="0"/>
        <v>0</v>
      </c>
      <c r="M18" s="478">
        <f>+H18</f>
        <v>934062.15757277235</v>
      </c>
      <c r="N18" s="478">
        <f t="shared" si="1"/>
        <v>0</v>
      </c>
      <c r="O18" s="478">
        <f t="shared" si="2"/>
        <v>0</v>
      </c>
      <c r="P18" s="243"/>
    </row>
    <row r="19" spans="2:16">
      <c r="B19" s="160" t="str">
        <f>IF(D19=F18,"","IU")</f>
        <v>IU</v>
      </c>
      <c r="C19" s="472">
        <f>IF(D11="","-",+C18+1)</f>
        <v>2021</v>
      </c>
      <c r="D19" s="584">
        <v>9239264.0476190485</v>
      </c>
      <c r="E19" s="585">
        <v>218828.95348837209</v>
      </c>
      <c r="F19" s="584">
        <v>9020435.0941306762</v>
      </c>
      <c r="G19" s="585">
        <v>1203224.4158022963</v>
      </c>
      <c r="H19" s="587">
        <v>1203224.4158022963</v>
      </c>
      <c r="I19" s="475">
        <f t="shared" ref="I19:I71" si="3">H19-G19</f>
        <v>0</v>
      </c>
      <c r="J19" s="475"/>
      <c r="K19" s="478">
        <f>+G19</f>
        <v>1203224.4158022963</v>
      </c>
      <c r="L19" s="478">
        <f t="shared" ref="L19" si="4">IF(K19&lt;&gt;0,+G19-K19,0)</f>
        <v>0</v>
      </c>
      <c r="M19" s="478">
        <f>+H19</f>
        <v>1203224.4158022963</v>
      </c>
      <c r="N19" s="478">
        <f t="shared" si="1"/>
        <v>0</v>
      </c>
      <c r="O19" s="478">
        <f t="shared" si="2"/>
        <v>0</v>
      </c>
      <c r="P19" s="243"/>
    </row>
    <row r="20" spans="2:16">
      <c r="B20" s="160" t="str">
        <f t="shared" ref="B20:B72" si="5">IF(D20=F19,"","IU")</f>
        <v>IU</v>
      </c>
      <c r="C20" s="472">
        <f>IF(D11="","-",+C19+1)</f>
        <v>2022</v>
      </c>
      <c r="D20" s="483">
        <f>IF(F19+SUM(E$17:E19)=D$10,F19,D$10-SUM(E$17:E19))</f>
        <v>7758067.0941306753</v>
      </c>
      <c r="E20" s="484">
        <f t="shared" ref="E20:E71" si="6">IF(+I$14&lt;F19,I$14,D20)</f>
        <v>189471.55813953487</v>
      </c>
      <c r="F20" s="485">
        <f t="shared" ref="F20:F71" si="7">+D20-E20</f>
        <v>7568595.5359911406</v>
      </c>
      <c r="G20" s="486">
        <f t="shared" ref="G20:G71" si="8">(D20+F20)/2*I$12+E20</f>
        <v>1071186.3751092609</v>
      </c>
      <c r="H20" s="455">
        <f t="shared" ref="H20:H71" si="9">+(D20+F20)/2*I$13+E20</f>
        <v>1071186.3751092609</v>
      </c>
      <c r="I20" s="475">
        <f t="shared" si="3"/>
        <v>0</v>
      </c>
      <c r="J20" s="475"/>
      <c r="K20" s="487"/>
      <c r="L20" s="478">
        <f t="shared" ref="L20:L72" si="10">IF(K20&lt;&gt;0,+G20-K20,0)</f>
        <v>0</v>
      </c>
      <c r="M20" s="487"/>
      <c r="N20" s="478">
        <f t="shared" si="1"/>
        <v>0</v>
      </c>
      <c r="O20" s="478">
        <f t="shared" si="2"/>
        <v>0</v>
      </c>
      <c r="P20" s="243"/>
    </row>
    <row r="21" spans="2:16">
      <c r="B21" s="160" t="str">
        <f t="shared" si="5"/>
        <v/>
      </c>
      <c r="C21" s="472">
        <f>IF(D11="","-",+C20+1)</f>
        <v>2023</v>
      </c>
      <c r="D21" s="483">
        <f>IF(F20+SUM(E$17:E20)=D$10,F20,D$10-SUM(E$17:E20))</f>
        <v>7568595.5359911406</v>
      </c>
      <c r="E21" s="484">
        <f t="shared" si="6"/>
        <v>189471.55813953487</v>
      </c>
      <c r="F21" s="485">
        <f t="shared" si="7"/>
        <v>7379123.977851606</v>
      </c>
      <c r="G21" s="486">
        <f t="shared" si="8"/>
        <v>1049386.4719943269</v>
      </c>
      <c r="H21" s="455">
        <f t="shared" si="9"/>
        <v>1049386.4719943269</v>
      </c>
      <c r="I21" s="475">
        <f t="shared" si="3"/>
        <v>0</v>
      </c>
      <c r="J21" s="475"/>
      <c r="K21" s="487"/>
      <c r="L21" s="478">
        <f t="shared" si="10"/>
        <v>0</v>
      </c>
      <c r="M21" s="487"/>
      <c r="N21" s="478">
        <f t="shared" si="1"/>
        <v>0</v>
      </c>
      <c r="O21" s="478">
        <f t="shared" si="2"/>
        <v>0</v>
      </c>
      <c r="P21" s="243"/>
    </row>
    <row r="22" spans="2:16">
      <c r="B22" s="160" t="str">
        <f t="shared" si="5"/>
        <v/>
      </c>
      <c r="C22" s="472">
        <f>IF(D11="","-",+C21+1)</f>
        <v>2024</v>
      </c>
      <c r="D22" s="483">
        <f>IF(F21+SUM(E$17:E21)=D$10,F21,D$10-SUM(E$17:E21))</f>
        <v>7379123.977851606</v>
      </c>
      <c r="E22" s="484">
        <f t="shared" si="6"/>
        <v>189471.55813953487</v>
      </c>
      <c r="F22" s="485">
        <f t="shared" si="7"/>
        <v>7189652.4197120713</v>
      </c>
      <c r="G22" s="486">
        <f t="shared" si="8"/>
        <v>1027586.5688793927</v>
      </c>
      <c r="H22" s="455">
        <f t="shared" si="9"/>
        <v>1027586.5688793927</v>
      </c>
      <c r="I22" s="475">
        <f t="shared" si="3"/>
        <v>0</v>
      </c>
      <c r="J22" s="475"/>
      <c r="K22" s="487"/>
      <c r="L22" s="478">
        <f t="shared" si="10"/>
        <v>0</v>
      </c>
      <c r="M22" s="487"/>
      <c r="N22" s="478">
        <f t="shared" si="1"/>
        <v>0</v>
      </c>
      <c r="O22" s="478">
        <f t="shared" si="2"/>
        <v>0</v>
      </c>
      <c r="P22" s="243"/>
    </row>
    <row r="23" spans="2:16">
      <c r="B23" s="160" t="str">
        <f t="shared" si="5"/>
        <v/>
      </c>
      <c r="C23" s="472">
        <f>IF(D11="","-",+C22+1)</f>
        <v>2025</v>
      </c>
      <c r="D23" s="483">
        <f>IF(F22+SUM(E$17:E22)=D$10,F22,D$10-SUM(E$17:E22))</f>
        <v>7189652.4197120713</v>
      </c>
      <c r="E23" s="484">
        <f t="shared" si="6"/>
        <v>189471.55813953487</v>
      </c>
      <c r="F23" s="485">
        <f t="shared" si="7"/>
        <v>7000180.8615725366</v>
      </c>
      <c r="G23" s="486">
        <f t="shared" si="8"/>
        <v>1005786.6657644586</v>
      </c>
      <c r="H23" s="455">
        <f t="shared" si="9"/>
        <v>1005786.6657644586</v>
      </c>
      <c r="I23" s="475">
        <f t="shared" si="3"/>
        <v>0</v>
      </c>
      <c r="J23" s="475"/>
      <c r="K23" s="487"/>
      <c r="L23" s="478">
        <f t="shared" si="10"/>
        <v>0</v>
      </c>
      <c r="M23" s="487"/>
      <c r="N23" s="478">
        <f t="shared" si="1"/>
        <v>0</v>
      </c>
      <c r="O23" s="478">
        <f t="shared" si="2"/>
        <v>0</v>
      </c>
      <c r="P23" s="243"/>
    </row>
    <row r="24" spans="2:16">
      <c r="B24" s="160" t="str">
        <f t="shared" si="5"/>
        <v/>
      </c>
      <c r="C24" s="472">
        <f>IF(D11="","-",+C23+1)</f>
        <v>2026</v>
      </c>
      <c r="D24" s="483">
        <f>IF(F23+SUM(E$17:E23)=D$10,F23,D$10-SUM(E$17:E23))</f>
        <v>7000180.8615725366</v>
      </c>
      <c r="E24" s="484">
        <f t="shared" si="6"/>
        <v>189471.55813953487</v>
      </c>
      <c r="F24" s="485">
        <f t="shared" si="7"/>
        <v>6810709.303433002</v>
      </c>
      <c r="G24" s="486">
        <f t="shared" si="8"/>
        <v>983986.76264952449</v>
      </c>
      <c r="H24" s="455">
        <f t="shared" si="9"/>
        <v>983986.76264952449</v>
      </c>
      <c r="I24" s="475">
        <f t="shared" si="3"/>
        <v>0</v>
      </c>
      <c r="J24" s="475"/>
      <c r="K24" s="487"/>
      <c r="L24" s="478">
        <f t="shared" si="10"/>
        <v>0</v>
      </c>
      <c r="M24" s="487"/>
      <c r="N24" s="478">
        <f t="shared" si="1"/>
        <v>0</v>
      </c>
      <c r="O24" s="478">
        <f t="shared" si="2"/>
        <v>0</v>
      </c>
      <c r="P24" s="243"/>
    </row>
    <row r="25" spans="2:16">
      <c r="B25" s="160" t="str">
        <f t="shared" si="5"/>
        <v/>
      </c>
      <c r="C25" s="472">
        <f>IF(D11="","-",+C24+1)</f>
        <v>2027</v>
      </c>
      <c r="D25" s="483">
        <f>IF(F24+SUM(E$17:E24)=D$10,F24,D$10-SUM(E$17:E24))</f>
        <v>6810709.303433002</v>
      </c>
      <c r="E25" s="484">
        <f t="shared" si="6"/>
        <v>189471.55813953487</v>
      </c>
      <c r="F25" s="485">
        <f t="shared" si="7"/>
        <v>6621237.7452934673</v>
      </c>
      <c r="G25" s="486">
        <f t="shared" si="8"/>
        <v>962186.85953459027</v>
      </c>
      <c r="H25" s="455">
        <f t="shared" si="9"/>
        <v>962186.85953459027</v>
      </c>
      <c r="I25" s="475">
        <f t="shared" si="3"/>
        <v>0</v>
      </c>
      <c r="J25" s="475"/>
      <c r="K25" s="487"/>
      <c r="L25" s="478">
        <f t="shared" si="10"/>
        <v>0</v>
      </c>
      <c r="M25" s="487"/>
      <c r="N25" s="478">
        <f t="shared" si="1"/>
        <v>0</v>
      </c>
      <c r="O25" s="478">
        <f t="shared" si="2"/>
        <v>0</v>
      </c>
      <c r="P25" s="243"/>
    </row>
    <row r="26" spans="2:16">
      <c r="B26" s="160" t="str">
        <f t="shared" si="5"/>
        <v/>
      </c>
      <c r="C26" s="472">
        <f>IF(D11="","-",+C25+1)</f>
        <v>2028</v>
      </c>
      <c r="D26" s="483">
        <f>IF(F25+SUM(E$17:E25)=D$10,F25,D$10-SUM(E$17:E25))</f>
        <v>6621237.7452934673</v>
      </c>
      <c r="E26" s="484">
        <f t="shared" si="6"/>
        <v>189471.55813953487</v>
      </c>
      <c r="F26" s="485">
        <f t="shared" si="7"/>
        <v>6431766.1871539326</v>
      </c>
      <c r="G26" s="486">
        <f t="shared" si="8"/>
        <v>940386.95641965617</v>
      </c>
      <c r="H26" s="455">
        <f t="shared" si="9"/>
        <v>940386.95641965617</v>
      </c>
      <c r="I26" s="475">
        <f t="shared" si="3"/>
        <v>0</v>
      </c>
      <c r="J26" s="475"/>
      <c r="K26" s="487"/>
      <c r="L26" s="478">
        <f t="shared" si="10"/>
        <v>0</v>
      </c>
      <c r="M26" s="487"/>
      <c r="N26" s="478">
        <f t="shared" si="1"/>
        <v>0</v>
      </c>
      <c r="O26" s="478">
        <f t="shared" si="2"/>
        <v>0</v>
      </c>
      <c r="P26" s="243"/>
    </row>
    <row r="27" spans="2:16">
      <c r="B27" s="160" t="str">
        <f t="shared" si="5"/>
        <v/>
      </c>
      <c r="C27" s="472">
        <f>IF(D11="","-",+C26+1)</f>
        <v>2029</v>
      </c>
      <c r="D27" s="483">
        <f>IF(F26+SUM(E$17:E26)=D$10,F26,D$10-SUM(E$17:E26))</f>
        <v>6431766.1871539326</v>
      </c>
      <c r="E27" s="484">
        <f t="shared" si="6"/>
        <v>189471.55813953487</v>
      </c>
      <c r="F27" s="485">
        <f t="shared" si="7"/>
        <v>6242294.629014398</v>
      </c>
      <c r="G27" s="486">
        <f t="shared" si="8"/>
        <v>918587.05330472207</v>
      </c>
      <c r="H27" s="455">
        <f t="shared" si="9"/>
        <v>918587.05330472207</v>
      </c>
      <c r="I27" s="475">
        <f t="shared" si="3"/>
        <v>0</v>
      </c>
      <c r="J27" s="475"/>
      <c r="K27" s="487"/>
      <c r="L27" s="478">
        <f t="shared" si="10"/>
        <v>0</v>
      </c>
      <c r="M27" s="487"/>
      <c r="N27" s="478">
        <f t="shared" si="1"/>
        <v>0</v>
      </c>
      <c r="O27" s="478">
        <f t="shared" si="2"/>
        <v>0</v>
      </c>
      <c r="P27" s="243"/>
    </row>
    <row r="28" spans="2:16">
      <c r="B28" s="160" t="str">
        <f t="shared" si="5"/>
        <v/>
      </c>
      <c r="C28" s="472">
        <f>IF(D11="","-",+C27+1)</f>
        <v>2030</v>
      </c>
      <c r="D28" s="483">
        <f>IF(F27+SUM(E$17:E27)=D$10,F27,D$10-SUM(E$17:E27))</f>
        <v>6242294.629014398</v>
      </c>
      <c r="E28" s="484">
        <f t="shared" si="6"/>
        <v>189471.55813953487</v>
      </c>
      <c r="F28" s="485">
        <f t="shared" si="7"/>
        <v>6052823.0708748633</v>
      </c>
      <c r="G28" s="486">
        <f t="shared" si="8"/>
        <v>896787.15018978785</v>
      </c>
      <c r="H28" s="455">
        <f t="shared" si="9"/>
        <v>896787.15018978785</v>
      </c>
      <c r="I28" s="475">
        <f t="shared" si="3"/>
        <v>0</v>
      </c>
      <c r="J28" s="475"/>
      <c r="K28" s="487"/>
      <c r="L28" s="478">
        <f t="shared" si="10"/>
        <v>0</v>
      </c>
      <c r="M28" s="487"/>
      <c r="N28" s="478">
        <f t="shared" si="1"/>
        <v>0</v>
      </c>
      <c r="O28" s="478">
        <f t="shared" si="2"/>
        <v>0</v>
      </c>
      <c r="P28" s="243"/>
    </row>
    <row r="29" spans="2:16">
      <c r="B29" s="160" t="str">
        <f t="shared" si="5"/>
        <v/>
      </c>
      <c r="C29" s="472">
        <f>IF(D11="","-",+C28+1)</f>
        <v>2031</v>
      </c>
      <c r="D29" s="483">
        <f>IF(F28+SUM(E$17:E28)=D$10,F28,D$10-SUM(E$17:E28))</f>
        <v>6052823.0708748633</v>
      </c>
      <c r="E29" s="484">
        <f t="shared" si="6"/>
        <v>189471.55813953487</v>
      </c>
      <c r="F29" s="485">
        <f t="shared" si="7"/>
        <v>5863351.5127353286</v>
      </c>
      <c r="G29" s="486">
        <f t="shared" si="8"/>
        <v>874987.24707485375</v>
      </c>
      <c r="H29" s="455">
        <f t="shared" si="9"/>
        <v>874987.24707485375</v>
      </c>
      <c r="I29" s="475">
        <f t="shared" si="3"/>
        <v>0</v>
      </c>
      <c r="J29" s="475"/>
      <c r="K29" s="487"/>
      <c r="L29" s="478">
        <f t="shared" si="10"/>
        <v>0</v>
      </c>
      <c r="M29" s="487"/>
      <c r="N29" s="478">
        <f t="shared" si="1"/>
        <v>0</v>
      </c>
      <c r="O29" s="478">
        <f t="shared" si="2"/>
        <v>0</v>
      </c>
      <c r="P29" s="243"/>
    </row>
    <row r="30" spans="2:16">
      <c r="B30" s="160" t="str">
        <f t="shared" si="5"/>
        <v/>
      </c>
      <c r="C30" s="472">
        <f>IF(D11="","-",+C29+1)</f>
        <v>2032</v>
      </c>
      <c r="D30" s="483">
        <f>IF(F29+SUM(E$17:E29)=D$10,F29,D$10-SUM(E$17:E29))</f>
        <v>5863351.5127353286</v>
      </c>
      <c r="E30" s="484">
        <f t="shared" si="6"/>
        <v>189471.55813953487</v>
      </c>
      <c r="F30" s="485">
        <f t="shared" si="7"/>
        <v>5673879.954595794</v>
      </c>
      <c r="G30" s="486">
        <f t="shared" si="8"/>
        <v>853187.34395991964</v>
      </c>
      <c r="H30" s="455">
        <f t="shared" si="9"/>
        <v>853187.34395991964</v>
      </c>
      <c r="I30" s="475">
        <f t="shared" si="3"/>
        <v>0</v>
      </c>
      <c r="J30" s="475"/>
      <c r="K30" s="487"/>
      <c r="L30" s="478">
        <f t="shared" si="10"/>
        <v>0</v>
      </c>
      <c r="M30" s="487"/>
      <c r="N30" s="478">
        <f t="shared" si="1"/>
        <v>0</v>
      </c>
      <c r="O30" s="478">
        <f t="shared" si="2"/>
        <v>0</v>
      </c>
      <c r="P30" s="243"/>
    </row>
    <row r="31" spans="2:16">
      <c r="B31" s="160" t="str">
        <f t="shared" si="5"/>
        <v/>
      </c>
      <c r="C31" s="472">
        <f>IF(D11="","-",+C30+1)</f>
        <v>2033</v>
      </c>
      <c r="D31" s="483">
        <f>IF(F30+SUM(E$17:E30)=D$10,F30,D$10-SUM(E$17:E30))</f>
        <v>5673879.954595794</v>
      </c>
      <c r="E31" s="484">
        <f t="shared" si="6"/>
        <v>189471.55813953487</v>
      </c>
      <c r="F31" s="485">
        <f t="shared" si="7"/>
        <v>5484408.3964562593</v>
      </c>
      <c r="G31" s="486">
        <f t="shared" si="8"/>
        <v>831387.44084498542</v>
      </c>
      <c r="H31" s="455">
        <f t="shared" si="9"/>
        <v>831387.44084498542</v>
      </c>
      <c r="I31" s="475">
        <f t="shared" si="3"/>
        <v>0</v>
      </c>
      <c r="J31" s="475"/>
      <c r="K31" s="487"/>
      <c r="L31" s="478">
        <f t="shared" si="10"/>
        <v>0</v>
      </c>
      <c r="M31" s="487"/>
      <c r="N31" s="478">
        <f t="shared" si="1"/>
        <v>0</v>
      </c>
      <c r="O31" s="478">
        <f t="shared" si="2"/>
        <v>0</v>
      </c>
      <c r="P31" s="243"/>
    </row>
    <row r="32" spans="2:16">
      <c r="B32" s="160" t="str">
        <f t="shared" si="5"/>
        <v/>
      </c>
      <c r="C32" s="472">
        <f>IF(D11="","-",+C31+1)</f>
        <v>2034</v>
      </c>
      <c r="D32" s="483">
        <f>IF(F31+SUM(E$17:E31)=D$10,F31,D$10-SUM(E$17:E31))</f>
        <v>5484408.3964562593</v>
      </c>
      <c r="E32" s="484">
        <f t="shared" si="6"/>
        <v>189471.55813953487</v>
      </c>
      <c r="F32" s="485">
        <f t="shared" si="7"/>
        <v>5294936.8383167246</v>
      </c>
      <c r="G32" s="486">
        <f t="shared" si="8"/>
        <v>809587.53773005132</v>
      </c>
      <c r="H32" s="455">
        <f t="shared" si="9"/>
        <v>809587.53773005132</v>
      </c>
      <c r="I32" s="475">
        <f t="shared" si="3"/>
        <v>0</v>
      </c>
      <c r="J32" s="475"/>
      <c r="K32" s="487"/>
      <c r="L32" s="478">
        <f t="shared" si="10"/>
        <v>0</v>
      </c>
      <c r="M32" s="487"/>
      <c r="N32" s="478">
        <f t="shared" si="1"/>
        <v>0</v>
      </c>
      <c r="O32" s="478">
        <f t="shared" si="2"/>
        <v>0</v>
      </c>
      <c r="P32" s="243"/>
    </row>
    <row r="33" spans="2:16">
      <c r="B33" s="160" t="str">
        <f t="shared" si="5"/>
        <v/>
      </c>
      <c r="C33" s="472">
        <f>IF(D11="","-",+C32+1)</f>
        <v>2035</v>
      </c>
      <c r="D33" s="483">
        <f>IF(F32+SUM(E$17:E32)=D$10,F32,D$10-SUM(E$17:E32))</f>
        <v>5294936.8383167246</v>
      </c>
      <c r="E33" s="484">
        <f t="shared" si="6"/>
        <v>189471.55813953487</v>
      </c>
      <c r="F33" s="485">
        <f t="shared" si="7"/>
        <v>5105465.28017719</v>
      </c>
      <c r="G33" s="486">
        <f t="shared" si="8"/>
        <v>787787.63461511722</v>
      </c>
      <c r="H33" s="455">
        <f t="shared" si="9"/>
        <v>787787.63461511722</v>
      </c>
      <c r="I33" s="475">
        <f t="shared" si="3"/>
        <v>0</v>
      </c>
      <c r="J33" s="475"/>
      <c r="K33" s="487"/>
      <c r="L33" s="478">
        <f t="shared" si="10"/>
        <v>0</v>
      </c>
      <c r="M33" s="487"/>
      <c r="N33" s="478">
        <f t="shared" si="1"/>
        <v>0</v>
      </c>
      <c r="O33" s="478">
        <f t="shared" si="2"/>
        <v>0</v>
      </c>
      <c r="P33" s="243"/>
    </row>
    <row r="34" spans="2:16">
      <c r="B34" s="160" t="str">
        <f t="shared" si="5"/>
        <v/>
      </c>
      <c r="C34" s="472">
        <f>IF(D11="","-",+C33+1)</f>
        <v>2036</v>
      </c>
      <c r="D34" s="483">
        <f>IF(F33+SUM(E$17:E33)=D$10,F33,D$10-SUM(E$17:E33))</f>
        <v>5105465.28017719</v>
      </c>
      <c r="E34" s="484">
        <f t="shared" si="6"/>
        <v>189471.55813953487</v>
      </c>
      <c r="F34" s="485">
        <f t="shared" si="7"/>
        <v>4915993.7220376553</v>
      </c>
      <c r="G34" s="486">
        <f t="shared" si="8"/>
        <v>765987.731500183</v>
      </c>
      <c r="H34" s="455">
        <f t="shared" si="9"/>
        <v>765987.731500183</v>
      </c>
      <c r="I34" s="475">
        <f t="shared" si="3"/>
        <v>0</v>
      </c>
      <c r="J34" s="475"/>
      <c r="K34" s="487"/>
      <c r="L34" s="478">
        <f t="shared" si="10"/>
        <v>0</v>
      </c>
      <c r="M34" s="487"/>
      <c r="N34" s="478">
        <f t="shared" si="1"/>
        <v>0</v>
      </c>
      <c r="O34" s="478">
        <f t="shared" si="2"/>
        <v>0</v>
      </c>
      <c r="P34" s="243"/>
    </row>
    <row r="35" spans="2:16">
      <c r="B35" s="160" t="str">
        <f t="shared" si="5"/>
        <v/>
      </c>
      <c r="C35" s="472">
        <f>IF(D11="","-",+C34+1)</f>
        <v>2037</v>
      </c>
      <c r="D35" s="483">
        <f>IF(F34+SUM(E$17:E34)=D$10,F34,D$10-SUM(E$17:E34))</f>
        <v>4915993.7220376553</v>
      </c>
      <c r="E35" s="484">
        <f t="shared" si="6"/>
        <v>189471.55813953487</v>
      </c>
      <c r="F35" s="485">
        <f t="shared" si="7"/>
        <v>4726522.1638981206</v>
      </c>
      <c r="G35" s="486">
        <f t="shared" si="8"/>
        <v>744187.8283852489</v>
      </c>
      <c r="H35" s="455">
        <f t="shared" si="9"/>
        <v>744187.8283852489</v>
      </c>
      <c r="I35" s="475">
        <f t="shared" si="3"/>
        <v>0</v>
      </c>
      <c r="J35" s="475"/>
      <c r="K35" s="487"/>
      <c r="L35" s="478">
        <f t="shared" si="10"/>
        <v>0</v>
      </c>
      <c r="M35" s="487"/>
      <c r="N35" s="478">
        <f t="shared" si="1"/>
        <v>0</v>
      </c>
      <c r="O35" s="478">
        <f t="shared" si="2"/>
        <v>0</v>
      </c>
      <c r="P35" s="243"/>
    </row>
    <row r="36" spans="2:16">
      <c r="B36" s="160" t="str">
        <f t="shared" si="5"/>
        <v/>
      </c>
      <c r="C36" s="472">
        <f>IF(D11="","-",+C35+1)</f>
        <v>2038</v>
      </c>
      <c r="D36" s="483">
        <f>IF(F35+SUM(E$17:E35)=D$10,F35,D$10-SUM(E$17:E35))</f>
        <v>4726522.1638981206</v>
      </c>
      <c r="E36" s="484">
        <f t="shared" si="6"/>
        <v>189471.55813953487</v>
      </c>
      <c r="F36" s="485">
        <f t="shared" si="7"/>
        <v>4537050.605758586</v>
      </c>
      <c r="G36" s="486">
        <f t="shared" si="8"/>
        <v>722387.92527031479</v>
      </c>
      <c r="H36" s="455">
        <f t="shared" si="9"/>
        <v>722387.92527031479</v>
      </c>
      <c r="I36" s="475">
        <f t="shared" si="3"/>
        <v>0</v>
      </c>
      <c r="J36" s="475"/>
      <c r="K36" s="487"/>
      <c r="L36" s="478">
        <f t="shared" si="10"/>
        <v>0</v>
      </c>
      <c r="M36" s="487"/>
      <c r="N36" s="478">
        <f t="shared" si="1"/>
        <v>0</v>
      </c>
      <c r="O36" s="478">
        <f t="shared" si="2"/>
        <v>0</v>
      </c>
      <c r="P36" s="243"/>
    </row>
    <row r="37" spans="2:16">
      <c r="B37" s="160" t="str">
        <f t="shared" si="5"/>
        <v/>
      </c>
      <c r="C37" s="472">
        <f>IF(D11="","-",+C36+1)</f>
        <v>2039</v>
      </c>
      <c r="D37" s="483">
        <f>IF(F36+SUM(E$17:E36)=D$10,F36,D$10-SUM(E$17:E36))</f>
        <v>4537050.605758586</v>
      </c>
      <c r="E37" s="484">
        <f t="shared" si="6"/>
        <v>189471.55813953487</v>
      </c>
      <c r="F37" s="485">
        <f t="shared" si="7"/>
        <v>4347579.0476190513</v>
      </c>
      <c r="G37" s="486">
        <f t="shared" si="8"/>
        <v>700588.02215538057</v>
      </c>
      <c r="H37" s="455">
        <f t="shared" si="9"/>
        <v>700588.02215538057</v>
      </c>
      <c r="I37" s="475">
        <f t="shared" si="3"/>
        <v>0</v>
      </c>
      <c r="J37" s="475"/>
      <c r="K37" s="487"/>
      <c r="L37" s="478">
        <f t="shared" si="10"/>
        <v>0</v>
      </c>
      <c r="M37" s="487"/>
      <c r="N37" s="478">
        <f t="shared" si="1"/>
        <v>0</v>
      </c>
      <c r="O37" s="478">
        <f t="shared" si="2"/>
        <v>0</v>
      </c>
      <c r="P37" s="243"/>
    </row>
    <row r="38" spans="2:16">
      <c r="B38" s="160" t="str">
        <f t="shared" si="5"/>
        <v/>
      </c>
      <c r="C38" s="472">
        <f>IF(D11="","-",+C37+1)</f>
        <v>2040</v>
      </c>
      <c r="D38" s="483">
        <f>IF(F37+SUM(E$17:E37)=D$10,F37,D$10-SUM(E$17:E37))</f>
        <v>4347579.0476190513</v>
      </c>
      <c r="E38" s="484">
        <f t="shared" si="6"/>
        <v>189471.55813953487</v>
      </c>
      <c r="F38" s="485">
        <f t="shared" si="7"/>
        <v>4158107.4894795166</v>
      </c>
      <c r="G38" s="486">
        <f t="shared" si="8"/>
        <v>678788.11904044647</v>
      </c>
      <c r="H38" s="455">
        <f t="shared" si="9"/>
        <v>678788.11904044647</v>
      </c>
      <c r="I38" s="475">
        <f t="shared" si="3"/>
        <v>0</v>
      </c>
      <c r="J38" s="475"/>
      <c r="K38" s="487"/>
      <c r="L38" s="478">
        <f t="shared" si="10"/>
        <v>0</v>
      </c>
      <c r="M38" s="487"/>
      <c r="N38" s="478">
        <f t="shared" si="1"/>
        <v>0</v>
      </c>
      <c r="O38" s="478">
        <f t="shared" si="2"/>
        <v>0</v>
      </c>
      <c r="P38" s="243"/>
    </row>
    <row r="39" spans="2:16">
      <c r="B39" s="160" t="str">
        <f t="shared" si="5"/>
        <v/>
      </c>
      <c r="C39" s="472">
        <f>IF(D11="","-",+C38+1)</f>
        <v>2041</v>
      </c>
      <c r="D39" s="483">
        <f>IF(F38+SUM(E$17:E38)=D$10,F38,D$10-SUM(E$17:E38))</f>
        <v>4158107.4894795166</v>
      </c>
      <c r="E39" s="484">
        <f t="shared" si="6"/>
        <v>189471.55813953487</v>
      </c>
      <c r="F39" s="485">
        <f t="shared" si="7"/>
        <v>3968635.931339982</v>
      </c>
      <c r="G39" s="486">
        <f t="shared" si="8"/>
        <v>656988.21592551237</v>
      </c>
      <c r="H39" s="455">
        <f t="shared" si="9"/>
        <v>656988.21592551237</v>
      </c>
      <c r="I39" s="475">
        <f t="shared" si="3"/>
        <v>0</v>
      </c>
      <c r="J39" s="475"/>
      <c r="K39" s="487"/>
      <c r="L39" s="478">
        <f t="shared" si="10"/>
        <v>0</v>
      </c>
      <c r="M39" s="487"/>
      <c r="N39" s="478">
        <f t="shared" si="1"/>
        <v>0</v>
      </c>
      <c r="O39" s="478">
        <f t="shared" si="2"/>
        <v>0</v>
      </c>
      <c r="P39" s="243"/>
    </row>
    <row r="40" spans="2:16">
      <c r="B40" s="160" t="str">
        <f t="shared" si="5"/>
        <v/>
      </c>
      <c r="C40" s="472">
        <f>IF(D11="","-",+C39+1)</f>
        <v>2042</v>
      </c>
      <c r="D40" s="483">
        <f>IF(F39+SUM(E$17:E39)=D$10,F39,D$10-SUM(E$17:E39))</f>
        <v>3968635.931339982</v>
      </c>
      <c r="E40" s="484">
        <f t="shared" si="6"/>
        <v>189471.55813953487</v>
      </c>
      <c r="F40" s="485">
        <f t="shared" si="7"/>
        <v>3779164.3732004473</v>
      </c>
      <c r="G40" s="486">
        <f t="shared" si="8"/>
        <v>635188.31281057815</v>
      </c>
      <c r="H40" s="455">
        <f t="shared" si="9"/>
        <v>635188.31281057815</v>
      </c>
      <c r="I40" s="475">
        <f t="shared" si="3"/>
        <v>0</v>
      </c>
      <c r="J40" s="475"/>
      <c r="K40" s="487"/>
      <c r="L40" s="478">
        <f t="shared" si="10"/>
        <v>0</v>
      </c>
      <c r="M40" s="487"/>
      <c r="N40" s="478">
        <f t="shared" si="1"/>
        <v>0</v>
      </c>
      <c r="O40" s="478">
        <f t="shared" si="2"/>
        <v>0</v>
      </c>
      <c r="P40" s="243"/>
    </row>
    <row r="41" spans="2:16">
      <c r="B41" s="160" t="str">
        <f t="shared" si="5"/>
        <v/>
      </c>
      <c r="C41" s="472">
        <f>IF(D11="","-",+C40+1)</f>
        <v>2043</v>
      </c>
      <c r="D41" s="483">
        <f>IF(F40+SUM(E$17:E40)=D$10,F40,D$10-SUM(E$17:E40))</f>
        <v>3779164.3732004473</v>
      </c>
      <c r="E41" s="484">
        <f t="shared" si="6"/>
        <v>189471.55813953487</v>
      </c>
      <c r="F41" s="485">
        <f t="shared" si="7"/>
        <v>3589692.8150609126</v>
      </c>
      <c r="G41" s="486">
        <f t="shared" si="8"/>
        <v>613388.40969564405</v>
      </c>
      <c r="H41" s="455">
        <f t="shared" si="9"/>
        <v>613388.40969564405</v>
      </c>
      <c r="I41" s="475">
        <f t="shared" si="3"/>
        <v>0</v>
      </c>
      <c r="J41" s="475"/>
      <c r="K41" s="487"/>
      <c r="L41" s="478">
        <f t="shared" si="10"/>
        <v>0</v>
      </c>
      <c r="M41" s="487"/>
      <c r="N41" s="478">
        <f t="shared" si="1"/>
        <v>0</v>
      </c>
      <c r="O41" s="478">
        <f t="shared" si="2"/>
        <v>0</v>
      </c>
      <c r="P41" s="243"/>
    </row>
    <row r="42" spans="2:16">
      <c r="B42" s="160" t="str">
        <f t="shared" si="5"/>
        <v/>
      </c>
      <c r="C42" s="472">
        <f>IF(D11="","-",+C41+1)</f>
        <v>2044</v>
      </c>
      <c r="D42" s="483">
        <f>IF(F41+SUM(E$17:E41)=D$10,F41,D$10-SUM(E$17:E41))</f>
        <v>3589692.8150609126</v>
      </c>
      <c r="E42" s="484">
        <f t="shared" si="6"/>
        <v>189471.55813953487</v>
      </c>
      <c r="F42" s="485">
        <f t="shared" si="7"/>
        <v>3400221.256921378</v>
      </c>
      <c r="G42" s="486">
        <f t="shared" si="8"/>
        <v>591588.50658070995</v>
      </c>
      <c r="H42" s="455">
        <f t="shared" si="9"/>
        <v>591588.50658070995</v>
      </c>
      <c r="I42" s="475">
        <f t="shared" si="3"/>
        <v>0</v>
      </c>
      <c r="J42" s="475"/>
      <c r="K42" s="487"/>
      <c r="L42" s="478">
        <f t="shared" si="10"/>
        <v>0</v>
      </c>
      <c r="M42" s="487"/>
      <c r="N42" s="478">
        <f t="shared" si="1"/>
        <v>0</v>
      </c>
      <c r="O42" s="478">
        <f t="shared" si="2"/>
        <v>0</v>
      </c>
      <c r="P42" s="243"/>
    </row>
    <row r="43" spans="2:16">
      <c r="B43" s="160" t="str">
        <f t="shared" si="5"/>
        <v/>
      </c>
      <c r="C43" s="472">
        <f>IF(D11="","-",+C42+1)</f>
        <v>2045</v>
      </c>
      <c r="D43" s="483">
        <f>IF(F42+SUM(E$17:E42)=D$10,F42,D$10-SUM(E$17:E42))</f>
        <v>3400221.256921378</v>
      </c>
      <c r="E43" s="484">
        <f t="shared" si="6"/>
        <v>189471.55813953487</v>
      </c>
      <c r="F43" s="485">
        <f t="shared" si="7"/>
        <v>3210749.6987818433</v>
      </c>
      <c r="G43" s="486">
        <f t="shared" si="8"/>
        <v>569788.60346577573</v>
      </c>
      <c r="H43" s="455">
        <f t="shared" si="9"/>
        <v>569788.60346577573</v>
      </c>
      <c r="I43" s="475">
        <f t="shared" si="3"/>
        <v>0</v>
      </c>
      <c r="J43" s="475"/>
      <c r="K43" s="487"/>
      <c r="L43" s="478">
        <f t="shared" si="10"/>
        <v>0</v>
      </c>
      <c r="M43" s="487"/>
      <c r="N43" s="478">
        <f t="shared" si="1"/>
        <v>0</v>
      </c>
      <c r="O43" s="478">
        <f t="shared" si="2"/>
        <v>0</v>
      </c>
      <c r="P43" s="243"/>
    </row>
    <row r="44" spans="2:16">
      <c r="B44" s="160" t="str">
        <f t="shared" si="5"/>
        <v/>
      </c>
      <c r="C44" s="472">
        <f>IF(D11="","-",+C43+1)</f>
        <v>2046</v>
      </c>
      <c r="D44" s="483">
        <f>IF(F43+SUM(E$17:E43)=D$10,F43,D$10-SUM(E$17:E43))</f>
        <v>3210749.6987818433</v>
      </c>
      <c r="E44" s="484">
        <f t="shared" si="6"/>
        <v>189471.55813953487</v>
      </c>
      <c r="F44" s="485">
        <f t="shared" si="7"/>
        <v>3021278.1406423086</v>
      </c>
      <c r="G44" s="486">
        <f t="shared" si="8"/>
        <v>547988.70035084162</v>
      </c>
      <c r="H44" s="455">
        <f t="shared" si="9"/>
        <v>547988.70035084162</v>
      </c>
      <c r="I44" s="475">
        <f t="shared" si="3"/>
        <v>0</v>
      </c>
      <c r="J44" s="475"/>
      <c r="K44" s="487"/>
      <c r="L44" s="478">
        <f t="shared" si="10"/>
        <v>0</v>
      </c>
      <c r="M44" s="487"/>
      <c r="N44" s="478">
        <f t="shared" si="1"/>
        <v>0</v>
      </c>
      <c r="O44" s="478">
        <f t="shared" si="2"/>
        <v>0</v>
      </c>
      <c r="P44" s="243"/>
    </row>
    <row r="45" spans="2:16">
      <c r="B45" s="160" t="str">
        <f t="shared" si="5"/>
        <v/>
      </c>
      <c r="C45" s="472">
        <f>IF(D11="","-",+C44+1)</f>
        <v>2047</v>
      </c>
      <c r="D45" s="483">
        <f>IF(F44+SUM(E$17:E44)=D$10,F44,D$10-SUM(E$17:E44))</f>
        <v>3021278.1406423086</v>
      </c>
      <c r="E45" s="484">
        <f t="shared" si="6"/>
        <v>189471.55813953487</v>
      </c>
      <c r="F45" s="485">
        <f t="shared" si="7"/>
        <v>2831806.582502774</v>
      </c>
      <c r="G45" s="486">
        <f t="shared" si="8"/>
        <v>526188.79723590752</v>
      </c>
      <c r="H45" s="455">
        <f t="shared" si="9"/>
        <v>526188.79723590752</v>
      </c>
      <c r="I45" s="475">
        <f t="shared" si="3"/>
        <v>0</v>
      </c>
      <c r="J45" s="475"/>
      <c r="K45" s="487"/>
      <c r="L45" s="478">
        <f t="shared" si="10"/>
        <v>0</v>
      </c>
      <c r="M45" s="487"/>
      <c r="N45" s="478">
        <f t="shared" si="1"/>
        <v>0</v>
      </c>
      <c r="O45" s="478">
        <f t="shared" si="2"/>
        <v>0</v>
      </c>
      <c r="P45" s="243"/>
    </row>
    <row r="46" spans="2:16">
      <c r="B46" s="160" t="str">
        <f t="shared" si="5"/>
        <v/>
      </c>
      <c r="C46" s="472">
        <f>IF(D11="","-",+C45+1)</f>
        <v>2048</v>
      </c>
      <c r="D46" s="483">
        <f>IF(F45+SUM(E$17:E45)=D$10,F45,D$10-SUM(E$17:E45))</f>
        <v>2831806.582502774</v>
      </c>
      <c r="E46" s="484">
        <f t="shared" si="6"/>
        <v>189471.55813953487</v>
      </c>
      <c r="F46" s="485">
        <f t="shared" si="7"/>
        <v>2642335.0243632393</v>
      </c>
      <c r="G46" s="486">
        <f t="shared" si="8"/>
        <v>504388.8941209733</v>
      </c>
      <c r="H46" s="455">
        <f t="shared" si="9"/>
        <v>504388.8941209733</v>
      </c>
      <c r="I46" s="475">
        <f t="shared" si="3"/>
        <v>0</v>
      </c>
      <c r="J46" s="475"/>
      <c r="K46" s="487"/>
      <c r="L46" s="478">
        <f t="shared" si="10"/>
        <v>0</v>
      </c>
      <c r="M46" s="487"/>
      <c r="N46" s="478">
        <f t="shared" si="1"/>
        <v>0</v>
      </c>
      <c r="O46" s="478">
        <f t="shared" si="2"/>
        <v>0</v>
      </c>
      <c r="P46" s="243"/>
    </row>
    <row r="47" spans="2:16">
      <c r="B47" s="160" t="str">
        <f t="shared" si="5"/>
        <v/>
      </c>
      <c r="C47" s="472">
        <f>IF(D11="","-",+C46+1)</f>
        <v>2049</v>
      </c>
      <c r="D47" s="483">
        <f>IF(F46+SUM(E$17:E46)=D$10,F46,D$10-SUM(E$17:E46))</f>
        <v>2642335.0243632393</v>
      </c>
      <c r="E47" s="484">
        <f t="shared" si="6"/>
        <v>189471.55813953487</v>
      </c>
      <c r="F47" s="485">
        <f t="shared" si="7"/>
        <v>2452863.4662237046</v>
      </c>
      <c r="G47" s="486">
        <f t="shared" si="8"/>
        <v>482588.9910060392</v>
      </c>
      <c r="H47" s="455">
        <f t="shared" si="9"/>
        <v>482588.9910060392</v>
      </c>
      <c r="I47" s="475">
        <f t="shared" si="3"/>
        <v>0</v>
      </c>
      <c r="J47" s="475"/>
      <c r="K47" s="487"/>
      <c r="L47" s="478">
        <f t="shared" si="10"/>
        <v>0</v>
      </c>
      <c r="M47" s="487"/>
      <c r="N47" s="478">
        <f t="shared" si="1"/>
        <v>0</v>
      </c>
      <c r="O47" s="478">
        <f t="shared" si="2"/>
        <v>0</v>
      </c>
      <c r="P47" s="243"/>
    </row>
    <row r="48" spans="2:16">
      <c r="B48" s="160" t="str">
        <f t="shared" si="5"/>
        <v/>
      </c>
      <c r="C48" s="472">
        <f>IF(D11="","-",+C47+1)</f>
        <v>2050</v>
      </c>
      <c r="D48" s="483">
        <f>IF(F47+SUM(E$17:E47)=D$10,F47,D$10-SUM(E$17:E47))</f>
        <v>2452863.4662237046</v>
      </c>
      <c r="E48" s="484">
        <f t="shared" si="6"/>
        <v>189471.55813953487</v>
      </c>
      <c r="F48" s="485">
        <f t="shared" si="7"/>
        <v>2263391.90808417</v>
      </c>
      <c r="G48" s="486">
        <f t="shared" si="8"/>
        <v>460789.0878911051</v>
      </c>
      <c r="H48" s="455">
        <f t="shared" si="9"/>
        <v>460789.0878911051</v>
      </c>
      <c r="I48" s="475">
        <f t="shared" si="3"/>
        <v>0</v>
      </c>
      <c r="J48" s="475"/>
      <c r="K48" s="487"/>
      <c r="L48" s="478">
        <f t="shared" si="10"/>
        <v>0</v>
      </c>
      <c r="M48" s="487"/>
      <c r="N48" s="478">
        <f t="shared" si="1"/>
        <v>0</v>
      </c>
      <c r="O48" s="478">
        <f t="shared" si="2"/>
        <v>0</v>
      </c>
      <c r="P48" s="243"/>
    </row>
    <row r="49" spans="2:16">
      <c r="B49" s="160" t="str">
        <f t="shared" si="5"/>
        <v/>
      </c>
      <c r="C49" s="472">
        <f>IF(D11="","-",+C48+1)</f>
        <v>2051</v>
      </c>
      <c r="D49" s="483">
        <f>IF(F48+SUM(E$17:E48)=D$10,F48,D$10-SUM(E$17:E48))</f>
        <v>2263391.90808417</v>
      </c>
      <c r="E49" s="484">
        <f t="shared" si="6"/>
        <v>189471.55813953487</v>
      </c>
      <c r="F49" s="485">
        <f t="shared" si="7"/>
        <v>2073920.3499446351</v>
      </c>
      <c r="G49" s="486">
        <f t="shared" si="8"/>
        <v>438989.18477617088</v>
      </c>
      <c r="H49" s="455">
        <f t="shared" si="9"/>
        <v>438989.18477617088</v>
      </c>
      <c r="I49" s="475">
        <f t="shared" si="3"/>
        <v>0</v>
      </c>
      <c r="J49" s="475"/>
      <c r="K49" s="487"/>
      <c r="L49" s="478">
        <f t="shared" si="10"/>
        <v>0</v>
      </c>
      <c r="M49" s="487"/>
      <c r="N49" s="478">
        <f t="shared" si="1"/>
        <v>0</v>
      </c>
      <c r="O49" s="478">
        <f t="shared" si="2"/>
        <v>0</v>
      </c>
      <c r="P49" s="243"/>
    </row>
    <row r="50" spans="2:16">
      <c r="B50" s="160" t="str">
        <f t="shared" si="5"/>
        <v/>
      </c>
      <c r="C50" s="472">
        <f>IF(D11="","-",+C49+1)</f>
        <v>2052</v>
      </c>
      <c r="D50" s="483">
        <f>IF(F49+SUM(E$17:E49)=D$10,F49,D$10-SUM(E$17:E49))</f>
        <v>2073920.3499446351</v>
      </c>
      <c r="E50" s="484">
        <f t="shared" si="6"/>
        <v>189471.55813953487</v>
      </c>
      <c r="F50" s="485">
        <f t="shared" si="7"/>
        <v>1884448.7918051002</v>
      </c>
      <c r="G50" s="486">
        <f t="shared" si="8"/>
        <v>417189.28166123672</v>
      </c>
      <c r="H50" s="455">
        <f t="shared" si="9"/>
        <v>417189.28166123672</v>
      </c>
      <c r="I50" s="475">
        <f t="shared" si="3"/>
        <v>0</v>
      </c>
      <c r="J50" s="475"/>
      <c r="K50" s="487"/>
      <c r="L50" s="478">
        <f t="shared" si="10"/>
        <v>0</v>
      </c>
      <c r="M50" s="487"/>
      <c r="N50" s="478">
        <f t="shared" si="1"/>
        <v>0</v>
      </c>
      <c r="O50" s="478">
        <f t="shared" si="2"/>
        <v>0</v>
      </c>
      <c r="P50" s="243"/>
    </row>
    <row r="51" spans="2:16">
      <c r="B51" s="160" t="str">
        <f t="shared" si="5"/>
        <v/>
      </c>
      <c r="C51" s="472">
        <f>IF(D11="","-",+C50+1)</f>
        <v>2053</v>
      </c>
      <c r="D51" s="483">
        <f>IF(F50+SUM(E$17:E50)=D$10,F50,D$10-SUM(E$17:E50))</f>
        <v>1884448.7918051002</v>
      </c>
      <c r="E51" s="484">
        <f t="shared" si="6"/>
        <v>189471.55813953487</v>
      </c>
      <c r="F51" s="485">
        <f t="shared" si="7"/>
        <v>1694977.2336655653</v>
      </c>
      <c r="G51" s="486">
        <f t="shared" si="8"/>
        <v>395389.37854630256</v>
      </c>
      <c r="H51" s="455">
        <f t="shared" si="9"/>
        <v>395389.37854630256</v>
      </c>
      <c r="I51" s="475">
        <f t="shared" si="3"/>
        <v>0</v>
      </c>
      <c r="J51" s="475"/>
      <c r="K51" s="487"/>
      <c r="L51" s="478">
        <f t="shared" si="10"/>
        <v>0</v>
      </c>
      <c r="M51" s="487"/>
      <c r="N51" s="478">
        <f t="shared" si="1"/>
        <v>0</v>
      </c>
      <c r="O51" s="478">
        <f t="shared" si="2"/>
        <v>0</v>
      </c>
      <c r="P51" s="243"/>
    </row>
    <row r="52" spans="2:16">
      <c r="B52" s="160" t="str">
        <f t="shared" si="5"/>
        <v/>
      </c>
      <c r="C52" s="472">
        <f>IF(D11="","-",+C51+1)</f>
        <v>2054</v>
      </c>
      <c r="D52" s="483">
        <f>IF(F51+SUM(E$17:E51)=D$10,F51,D$10-SUM(E$17:E51))</f>
        <v>1694977.2336655653</v>
      </c>
      <c r="E52" s="484">
        <f t="shared" si="6"/>
        <v>189471.55813953487</v>
      </c>
      <c r="F52" s="485">
        <f t="shared" si="7"/>
        <v>1505505.6755260304</v>
      </c>
      <c r="G52" s="486">
        <f t="shared" si="8"/>
        <v>373589.4754313684</v>
      </c>
      <c r="H52" s="455">
        <f t="shared" si="9"/>
        <v>373589.4754313684</v>
      </c>
      <c r="I52" s="475">
        <f t="shared" si="3"/>
        <v>0</v>
      </c>
      <c r="J52" s="475"/>
      <c r="K52" s="487"/>
      <c r="L52" s="478">
        <f t="shared" si="10"/>
        <v>0</v>
      </c>
      <c r="M52" s="487"/>
      <c r="N52" s="478">
        <f t="shared" si="1"/>
        <v>0</v>
      </c>
      <c r="O52" s="478">
        <f t="shared" si="2"/>
        <v>0</v>
      </c>
      <c r="P52" s="243"/>
    </row>
    <row r="53" spans="2:16">
      <c r="B53" s="160" t="str">
        <f t="shared" si="5"/>
        <v/>
      </c>
      <c r="C53" s="472">
        <f>IF(D11="","-",+C52+1)</f>
        <v>2055</v>
      </c>
      <c r="D53" s="483">
        <f>IF(F52+SUM(E$17:E52)=D$10,F52,D$10-SUM(E$17:E52))</f>
        <v>1505505.6755260304</v>
      </c>
      <c r="E53" s="484">
        <f t="shared" si="6"/>
        <v>189471.55813953487</v>
      </c>
      <c r="F53" s="485">
        <f t="shared" si="7"/>
        <v>1316034.1173864955</v>
      </c>
      <c r="G53" s="486">
        <f t="shared" si="8"/>
        <v>351789.57231643423</v>
      </c>
      <c r="H53" s="455">
        <f t="shared" si="9"/>
        <v>351789.57231643423</v>
      </c>
      <c r="I53" s="475">
        <f t="shared" si="3"/>
        <v>0</v>
      </c>
      <c r="J53" s="475"/>
      <c r="K53" s="487"/>
      <c r="L53" s="478">
        <f t="shared" si="10"/>
        <v>0</v>
      </c>
      <c r="M53" s="487"/>
      <c r="N53" s="478">
        <f t="shared" si="1"/>
        <v>0</v>
      </c>
      <c r="O53" s="478">
        <f t="shared" si="2"/>
        <v>0</v>
      </c>
      <c r="P53" s="243"/>
    </row>
    <row r="54" spans="2:16">
      <c r="B54" s="160" t="str">
        <f t="shared" si="5"/>
        <v/>
      </c>
      <c r="C54" s="472">
        <f>IF(D11="","-",+C53+1)</f>
        <v>2056</v>
      </c>
      <c r="D54" s="483">
        <f>IF(F53+SUM(E$17:E53)=D$10,F53,D$10-SUM(E$17:E53))</f>
        <v>1316034.1173864955</v>
      </c>
      <c r="E54" s="484">
        <f t="shared" si="6"/>
        <v>189471.55813953487</v>
      </c>
      <c r="F54" s="485">
        <f t="shared" si="7"/>
        <v>1126562.5592469606</v>
      </c>
      <c r="G54" s="486">
        <f t="shared" si="8"/>
        <v>329989.66920150002</v>
      </c>
      <c r="H54" s="455">
        <f t="shared" si="9"/>
        <v>329989.66920150002</v>
      </c>
      <c r="I54" s="475">
        <f t="shared" si="3"/>
        <v>0</v>
      </c>
      <c r="J54" s="475"/>
      <c r="K54" s="487"/>
      <c r="L54" s="478">
        <f t="shared" si="10"/>
        <v>0</v>
      </c>
      <c r="M54" s="487"/>
      <c r="N54" s="478">
        <f t="shared" si="1"/>
        <v>0</v>
      </c>
      <c r="O54" s="478">
        <f t="shared" si="2"/>
        <v>0</v>
      </c>
      <c r="P54" s="243"/>
    </row>
    <row r="55" spans="2:16">
      <c r="B55" s="160" t="str">
        <f t="shared" si="5"/>
        <v/>
      </c>
      <c r="C55" s="472">
        <f>IF(D11="","-",+C54+1)</f>
        <v>2057</v>
      </c>
      <c r="D55" s="483">
        <f>IF(F54+SUM(E$17:E54)=D$10,F54,D$10-SUM(E$17:E54))</f>
        <v>1126562.5592469606</v>
      </c>
      <c r="E55" s="484">
        <f t="shared" si="6"/>
        <v>189471.55813953487</v>
      </c>
      <c r="F55" s="485">
        <f t="shared" si="7"/>
        <v>937091.00110742566</v>
      </c>
      <c r="G55" s="486">
        <f t="shared" si="8"/>
        <v>308189.76608656591</v>
      </c>
      <c r="H55" s="455">
        <f t="shared" si="9"/>
        <v>308189.76608656591</v>
      </c>
      <c r="I55" s="475">
        <f t="shared" si="3"/>
        <v>0</v>
      </c>
      <c r="J55" s="475"/>
      <c r="K55" s="487"/>
      <c r="L55" s="478">
        <f t="shared" si="10"/>
        <v>0</v>
      </c>
      <c r="M55" s="487"/>
      <c r="N55" s="478">
        <f t="shared" si="1"/>
        <v>0</v>
      </c>
      <c r="O55" s="478">
        <f t="shared" si="2"/>
        <v>0</v>
      </c>
      <c r="P55" s="243"/>
    </row>
    <row r="56" spans="2:16">
      <c r="B56" s="160" t="str">
        <f t="shared" si="5"/>
        <v/>
      </c>
      <c r="C56" s="472">
        <f>IF(D11="","-",+C55+1)</f>
        <v>2058</v>
      </c>
      <c r="D56" s="483">
        <f>IF(F55+SUM(E$17:E55)=D$10,F55,D$10-SUM(E$17:E55))</f>
        <v>937091.00110742566</v>
      </c>
      <c r="E56" s="484">
        <f t="shared" si="6"/>
        <v>189471.55813953487</v>
      </c>
      <c r="F56" s="485">
        <f t="shared" si="7"/>
        <v>747619.44296789076</v>
      </c>
      <c r="G56" s="486">
        <f t="shared" si="8"/>
        <v>286389.86297163175</v>
      </c>
      <c r="H56" s="455">
        <f t="shared" si="9"/>
        <v>286389.86297163175</v>
      </c>
      <c r="I56" s="475">
        <f t="shared" si="3"/>
        <v>0</v>
      </c>
      <c r="J56" s="475"/>
      <c r="K56" s="487"/>
      <c r="L56" s="478">
        <f t="shared" si="10"/>
        <v>0</v>
      </c>
      <c r="M56" s="487"/>
      <c r="N56" s="478">
        <f t="shared" si="1"/>
        <v>0</v>
      </c>
      <c r="O56" s="478">
        <f t="shared" si="2"/>
        <v>0</v>
      </c>
      <c r="P56" s="243"/>
    </row>
    <row r="57" spans="2:16">
      <c r="B57" s="160" t="str">
        <f t="shared" si="5"/>
        <v/>
      </c>
      <c r="C57" s="472">
        <f>IF(D11="","-",+C56+1)</f>
        <v>2059</v>
      </c>
      <c r="D57" s="483">
        <f>IF(F56+SUM(E$17:E56)=D$10,F56,D$10-SUM(E$17:E56))</f>
        <v>747619.44296789076</v>
      </c>
      <c r="E57" s="484">
        <f t="shared" si="6"/>
        <v>189471.55813953487</v>
      </c>
      <c r="F57" s="485">
        <f t="shared" si="7"/>
        <v>558147.88482835586</v>
      </c>
      <c r="G57" s="486">
        <f t="shared" si="8"/>
        <v>264589.95985669759</v>
      </c>
      <c r="H57" s="455">
        <f t="shared" si="9"/>
        <v>264589.95985669759</v>
      </c>
      <c r="I57" s="475">
        <f t="shared" si="3"/>
        <v>0</v>
      </c>
      <c r="J57" s="475"/>
      <c r="K57" s="487"/>
      <c r="L57" s="478">
        <f t="shared" si="10"/>
        <v>0</v>
      </c>
      <c r="M57" s="487"/>
      <c r="N57" s="478">
        <f t="shared" si="1"/>
        <v>0</v>
      </c>
      <c r="O57" s="478">
        <f t="shared" si="2"/>
        <v>0</v>
      </c>
      <c r="P57" s="243"/>
    </row>
    <row r="58" spans="2:16">
      <c r="B58" s="160" t="str">
        <f t="shared" si="5"/>
        <v/>
      </c>
      <c r="C58" s="472">
        <f>IF(D11="","-",+C57+1)</f>
        <v>2060</v>
      </c>
      <c r="D58" s="483">
        <f>IF(F57+SUM(E$17:E57)=D$10,F57,D$10-SUM(E$17:E57))</f>
        <v>558147.88482835586</v>
      </c>
      <c r="E58" s="484">
        <f t="shared" si="6"/>
        <v>189471.55813953487</v>
      </c>
      <c r="F58" s="485">
        <f t="shared" si="7"/>
        <v>368676.32668882096</v>
      </c>
      <c r="G58" s="486">
        <f t="shared" si="8"/>
        <v>242790.0567417634</v>
      </c>
      <c r="H58" s="455">
        <f t="shared" si="9"/>
        <v>242790.0567417634</v>
      </c>
      <c r="I58" s="475">
        <f t="shared" si="3"/>
        <v>0</v>
      </c>
      <c r="J58" s="475"/>
      <c r="K58" s="487"/>
      <c r="L58" s="478">
        <f t="shared" si="10"/>
        <v>0</v>
      </c>
      <c r="M58" s="487"/>
      <c r="N58" s="478">
        <f t="shared" si="1"/>
        <v>0</v>
      </c>
      <c r="O58" s="478">
        <f t="shared" si="2"/>
        <v>0</v>
      </c>
      <c r="P58" s="243"/>
    </row>
    <row r="59" spans="2:16">
      <c r="B59" s="160" t="str">
        <f t="shared" si="5"/>
        <v/>
      </c>
      <c r="C59" s="472">
        <f>IF(D11="","-",+C58+1)</f>
        <v>2061</v>
      </c>
      <c r="D59" s="483">
        <f>IF(F58+SUM(E$17:E58)=D$10,F58,D$10-SUM(E$17:E58))</f>
        <v>368676.32668882096</v>
      </c>
      <c r="E59" s="484">
        <f t="shared" si="6"/>
        <v>189471.55813953487</v>
      </c>
      <c r="F59" s="485">
        <f t="shared" si="7"/>
        <v>179204.76854928609</v>
      </c>
      <c r="G59" s="486">
        <f t="shared" si="8"/>
        <v>220990.15362682924</v>
      </c>
      <c r="H59" s="455">
        <f t="shared" si="9"/>
        <v>220990.15362682924</v>
      </c>
      <c r="I59" s="475">
        <f t="shared" si="3"/>
        <v>0</v>
      </c>
      <c r="J59" s="475"/>
      <c r="K59" s="487"/>
      <c r="L59" s="478">
        <f t="shared" si="10"/>
        <v>0</v>
      </c>
      <c r="M59" s="487"/>
      <c r="N59" s="478">
        <f t="shared" si="1"/>
        <v>0</v>
      </c>
      <c r="O59" s="478">
        <f t="shared" si="2"/>
        <v>0</v>
      </c>
      <c r="P59" s="243"/>
    </row>
    <row r="60" spans="2:16">
      <c r="B60" s="160" t="str">
        <f t="shared" si="5"/>
        <v/>
      </c>
      <c r="C60" s="472">
        <f>IF(D11="","-",+C59+1)</f>
        <v>2062</v>
      </c>
      <c r="D60" s="483">
        <f>IF(F59+SUM(E$17:E59)=D$10,F59,D$10-SUM(E$17:E59))</f>
        <v>179204.76854928609</v>
      </c>
      <c r="E60" s="484">
        <f t="shared" si="6"/>
        <v>179204.76854928609</v>
      </c>
      <c r="F60" s="485">
        <f t="shared" si="7"/>
        <v>0</v>
      </c>
      <c r="G60" s="486">
        <f t="shared" si="8"/>
        <v>189514.09051419972</v>
      </c>
      <c r="H60" s="455">
        <f t="shared" si="9"/>
        <v>189514.09051419972</v>
      </c>
      <c r="I60" s="475">
        <f t="shared" si="3"/>
        <v>0</v>
      </c>
      <c r="J60" s="475"/>
      <c r="K60" s="487"/>
      <c r="L60" s="478">
        <f t="shared" si="10"/>
        <v>0</v>
      </c>
      <c r="M60" s="487"/>
      <c r="N60" s="478">
        <f t="shared" si="1"/>
        <v>0</v>
      </c>
      <c r="O60" s="478">
        <f t="shared" si="2"/>
        <v>0</v>
      </c>
      <c r="P60" s="243"/>
    </row>
    <row r="61" spans="2:16">
      <c r="B61" s="160" t="str">
        <f t="shared" si="5"/>
        <v/>
      </c>
      <c r="C61" s="472">
        <f>IF(D11="","-",+C60+1)</f>
        <v>2063</v>
      </c>
      <c r="D61" s="483">
        <f>IF(F60+SUM(E$17:E60)=D$10,F60,D$10-SUM(E$17:E60))</f>
        <v>0</v>
      </c>
      <c r="E61" s="484">
        <f t="shared" si="6"/>
        <v>0</v>
      </c>
      <c r="F61" s="485">
        <f t="shared" si="7"/>
        <v>0</v>
      </c>
      <c r="G61" s="486">
        <f t="shared" si="8"/>
        <v>0</v>
      </c>
      <c r="H61" s="455">
        <f t="shared" si="9"/>
        <v>0</v>
      </c>
      <c r="I61" s="475">
        <f t="shared" si="3"/>
        <v>0</v>
      </c>
      <c r="J61" s="475"/>
      <c r="K61" s="487"/>
      <c r="L61" s="478">
        <f t="shared" si="10"/>
        <v>0</v>
      </c>
      <c r="M61" s="487"/>
      <c r="N61" s="478">
        <f t="shared" si="1"/>
        <v>0</v>
      </c>
      <c r="O61" s="478">
        <f t="shared" si="2"/>
        <v>0</v>
      </c>
      <c r="P61" s="243"/>
    </row>
    <row r="62" spans="2:16">
      <c r="B62" s="160" t="str">
        <f t="shared" si="5"/>
        <v/>
      </c>
      <c r="C62" s="472">
        <f>IF(D11="","-",+C61+1)</f>
        <v>2064</v>
      </c>
      <c r="D62" s="483">
        <f>IF(F61+SUM(E$17:E61)=D$10,F61,D$10-SUM(E$17:E61))</f>
        <v>0</v>
      </c>
      <c r="E62" s="484">
        <f t="shared" si="6"/>
        <v>0</v>
      </c>
      <c r="F62" s="485">
        <f t="shared" si="7"/>
        <v>0</v>
      </c>
      <c r="G62" s="486">
        <f t="shared" si="8"/>
        <v>0</v>
      </c>
      <c r="H62" s="455">
        <f t="shared" si="9"/>
        <v>0</v>
      </c>
      <c r="I62" s="475">
        <f t="shared" si="3"/>
        <v>0</v>
      </c>
      <c r="J62" s="475"/>
      <c r="K62" s="487"/>
      <c r="L62" s="478">
        <f t="shared" si="10"/>
        <v>0</v>
      </c>
      <c r="M62" s="487"/>
      <c r="N62" s="478">
        <f t="shared" si="1"/>
        <v>0</v>
      </c>
      <c r="O62" s="478">
        <f t="shared" si="2"/>
        <v>0</v>
      </c>
      <c r="P62" s="243"/>
    </row>
    <row r="63" spans="2:16">
      <c r="B63" s="160" t="str">
        <f t="shared" si="5"/>
        <v/>
      </c>
      <c r="C63" s="472">
        <f>IF(D11="","-",+C62+1)</f>
        <v>2065</v>
      </c>
      <c r="D63" s="483">
        <f>IF(F62+SUM(E$17:E62)=D$10,F62,D$10-SUM(E$17:E62))</f>
        <v>0</v>
      </c>
      <c r="E63" s="484">
        <f t="shared" si="6"/>
        <v>0</v>
      </c>
      <c r="F63" s="485">
        <f t="shared" si="7"/>
        <v>0</v>
      </c>
      <c r="G63" s="486">
        <f t="shared" si="8"/>
        <v>0</v>
      </c>
      <c r="H63" s="455">
        <f t="shared" si="9"/>
        <v>0</v>
      </c>
      <c r="I63" s="475">
        <f t="shared" si="3"/>
        <v>0</v>
      </c>
      <c r="J63" s="475"/>
      <c r="K63" s="487"/>
      <c r="L63" s="478">
        <f t="shared" si="10"/>
        <v>0</v>
      </c>
      <c r="M63" s="487"/>
      <c r="N63" s="478">
        <f t="shared" si="1"/>
        <v>0</v>
      </c>
      <c r="O63" s="478">
        <f t="shared" si="2"/>
        <v>0</v>
      </c>
      <c r="P63" s="243"/>
    </row>
    <row r="64" spans="2:16">
      <c r="B64" s="160" t="str">
        <f t="shared" si="5"/>
        <v/>
      </c>
      <c r="C64" s="472">
        <f>IF(D11="","-",+C63+1)</f>
        <v>2066</v>
      </c>
      <c r="D64" s="483">
        <f>IF(F63+SUM(E$17:E63)=D$10,F63,D$10-SUM(E$17:E63))</f>
        <v>0</v>
      </c>
      <c r="E64" s="484">
        <f t="shared" si="6"/>
        <v>0</v>
      </c>
      <c r="F64" s="485">
        <f t="shared" si="7"/>
        <v>0</v>
      </c>
      <c r="G64" s="486">
        <f t="shared" si="8"/>
        <v>0</v>
      </c>
      <c r="H64" s="455">
        <f t="shared" si="9"/>
        <v>0</v>
      </c>
      <c r="I64" s="475">
        <f t="shared" si="3"/>
        <v>0</v>
      </c>
      <c r="J64" s="475"/>
      <c r="K64" s="487"/>
      <c r="L64" s="478">
        <f t="shared" si="10"/>
        <v>0</v>
      </c>
      <c r="M64" s="487"/>
      <c r="N64" s="478">
        <f t="shared" si="1"/>
        <v>0</v>
      </c>
      <c r="O64" s="478">
        <f t="shared" si="2"/>
        <v>0</v>
      </c>
      <c r="P64" s="243"/>
    </row>
    <row r="65" spans="2:16">
      <c r="B65" s="160" t="str">
        <f t="shared" si="5"/>
        <v/>
      </c>
      <c r="C65" s="472">
        <f>IF(D11="","-",+C64+1)</f>
        <v>2067</v>
      </c>
      <c r="D65" s="483">
        <f>IF(F64+SUM(E$17:E64)=D$10,F64,D$10-SUM(E$17:E64))</f>
        <v>0</v>
      </c>
      <c r="E65" s="484">
        <f t="shared" si="6"/>
        <v>0</v>
      </c>
      <c r="F65" s="485">
        <f t="shared" si="7"/>
        <v>0</v>
      </c>
      <c r="G65" s="486">
        <f t="shared" si="8"/>
        <v>0</v>
      </c>
      <c r="H65" s="455">
        <f t="shared" si="9"/>
        <v>0</v>
      </c>
      <c r="I65" s="475">
        <f t="shared" si="3"/>
        <v>0</v>
      </c>
      <c r="J65" s="475"/>
      <c r="K65" s="487"/>
      <c r="L65" s="478">
        <f t="shared" si="10"/>
        <v>0</v>
      </c>
      <c r="M65" s="487"/>
      <c r="N65" s="478">
        <f t="shared" si="1"/>
        <v>0</v>
      </c>
      <c r="O65" s="478">
        <f t="shared" si="2"/>
        <v>0</v>
      </c>
      <c r="P65" s="243"/>
    </row>
    <row r="66" spans="2:16">
      <c r="B66" s="160" t="str">
        <f t="shared" si="5"/>
        <v/>
      </c>
      <c r="C66" s="472">
        <f>IF(D11="","-",+C65+1)</f>
        <v>2068</v>
      </c>
      <c r="D66" s="483">
        <f>IF(F65+SUM(E$17:E65)=D$10,F65,D$10-SUM(E$17:E65))</f>
        <v>0</v>
      </c>
      <c r="E66" s="484">
        <f t="shared" si="6"/>
        <v>0</v>
      </c>
      <c r="F66" s="485">
        <f t="shared" si="7"/>
        <v>0</v>
      </c>
      <c r="G66" s="486">
        <f t="shared" si="8"/>
        <v>0</v>
      </c>
      <c r="H66" s="455">
        <f t="shared" si="9"/>
        <v>0</v>
      </c>
      <c r="I66" s="475">
        <f t="shared" si="3"/>
        <v>0</v>
      </c>
      <c r="J66" s="475"/>
      <c r="K66" s="487"/>
      <c r="L66" s="478">
        <f t="shared" si="10"/>
        <v>0</v>
      </c>
      <c r="M66" s="487"/>
      <c r="N66" s="478">
        <f t="shared" si="1"/>
        <v>0</v>
      </c>
      <c r="O66" s="478">
        <f t="shared" si="2"/>
        <v>0</v>
      </c>
      <c r="P66" s="243"/>
    </row>
    <row r="67" spans="2:16">
      <c r="B67" s="160" t="str">
        <f t="shared" si="5"/>
        <v/>
      </c>
      <c r="C67" s="472">
        <f>IF(D11="","-",+C66+1)</f>
        <v>2069</v>
      </c>
      <c r="D67" s="483">
        <f>IF(F66+SUM(E$17:E66)=D$10,F66,D$10-SUM(E$17:E66))</f>
        <v>0</v>
      </c>
      <c r="E67" s="484">
        <f t="shared" si="6"/>
        <v>0</v>
      </c>
      <c r="F67" s="485">
        <f t="shared" si="7"/>
        <v>0</v>
      </c>
      <c r="G67" s="486">
        <f t="shared" si="8"/>
        <v>0</v>
      </c>
      <c r="H67" s="455">
        <f t="shared" si="9"/>
        <v>0</v>
      </c>
      <c r="I67" s="475">
        <f t="shared" si="3"/>
        <v>0</v>
      </c>
      <c r="J67" s="475"/>
      <c r="K67" s="487"/>
      <c r="L67" s="478">
        <f t="shared" si="10"/>
        <v>0</v>
      </c>
      <c r="M67" s="487"/>
      <c r="N67" s="478">
        <f t="shared" si="1"/>
        <v>0</v>
      </c>
      <c r="O67" s="478">
        <f t="shared" si="2"/>
        <v>0</v>
      </c>
      <c r="P67" s="243"/>
    </row>
    <row r="68" spans="2:16">
      <c r="B68" s="160" t="str">
        <f t="shared" si="5"/>
        <v/>
      </c>
      <c r="C68" s="472">
        <f>IF(D11="","-",+C67+1)</f>
        <v>2070</v>
      </c>
      <c r="D68" s="483">
        <f>IF(F67+SUM(E$17:E67)=D$10,F67,D$10-SUM(E$17:E67))</f>
        <v>0</v>
      </c>
      <c r="E68" s="484">
        <f t="shared" si="6"/>
        <v>0</v>
      </c>
      <c r="F68" s="485">
        <f t="shared" si="7"/>
        <v>0</v>
      </c>
      <c r="G68" s="486">
        <f t="shared" si="8"/>
        <v>0</v>
      </c>
      <c r="H68" s="455">
        <f t="shared" si="9"/>
        <v>0</v>
      </c>
      <c r="I68" s="475">
        <f t="shared" si="3"/>
        <v>0</v>
      </c>
      <c r="J68" s="475"/>
      <c r="K68" s="487"/>
      <c r="L68" s="478">
        <f t="shared" si="10"/>
        <v>0</v>
      </c>
      <c r="M68" s="487"/>
      <c r="N68" s="478">
        <f t="shared" si="1"/>
        <v>0</v>
      </c>
      <c r="O68" s="478">
        <f t="shared" si="2"/>
        <v>0</v>
      </c>
      <c r="P68" s="243"/>
    </row>
    <row r="69" spans="2:16">
      <c r="B69" s="160" t="str">
        <f t="shared" si="5"/>
        <v/>
      </c>
      <c r="C69" s="472">
        <f>IF(D11="","-",+C68+1)</f>
        <v>2071</v>
      </c>
      <c r="D69" s="483">
        <f>IF(F68+SUM(E$17:E68)=D$10,F68,D$10-SUM(E$17:E68))</f>
        <v>0</v>
      </c>
      <c r="E69" s="484">
        <f t="shared" si="6"/>
        <v>0</v>
      </c>
      <c r="F69" s="485">
        <f t="shared" si="7"/>
        <v>0</v>
      </c>
      <c r="G69" s="486">
        <f t="shared" si="8"/>
        <v>0</v>
      </c>
      <c r="H69" s="455">
        <f t="shared" si="9"/>
        <v>0</v>
      </c>
      <c r="I69" s="475">
        <f t="shared" si="3"/>
        <v>0</v>
      </c>
      <c r="J69" s="475"/>
      <c r="K69" s="487"/>
      <c r="L69" s="478">
        <f t="shared" si="10"/>
        <v>0</v>
      </c>
      <c r="M69" s="487"/>
      <c r="N69" s="478">
        <f t="shared" si="1"/>
        <v>0</v>
      </c>
      <c r="O69" s="478">
        <f t="shared" si="2"/>
        <v>0</v>
      </c>
      <c r="P69" s="243"/>
    </row>
    <row r="70" spans="2:16">
      <c r="B70" s="160" t="str">
        <f t="shared" si="5"/>
        <v/>
      </c>
      <c r="C70" s="472">
        <f>IF(D11="","-",+C69+1)</f>
        <v>2072</v>
      </c>
      <c r="D70" s="483">
        <f>IF(F69+SUM(E$17:E69)=D$10,F69,D$10-SUM(E$17:E69))</f>
        <v>0</v>
      </c>
      <c r="E70" s="484">
        <f t="shared" si="6"/>
        <v>0</v>
      </c>
      <c r="F70" s="485">
        <f t="shared" si="7"/>
        <v>0</v>
      </c>
      <c r="G70" s="486">
        <f t="shared" si="8"/>
        <v>0</v>
      </c>
      <c r="H70" s="455">
        <f t="shared" si="9"/>
        <v>0</v>
      </c>
      <c r="I70" s="475">
        <f t="shared" si="3"/>
        <v>0</v>
      </c>
      <c r="J70" s="475"/>
      <c r="K70" s="487"/>
      <c r="L70" s="478">
        <f t="shared" si="10"/>
        <v>0</v>
      </c>
      <c r="M70" s="487"/>
      <c r="N70" s="478">
        <f t="shared" si="1"/>
        <v>0</v>
      </c>
      <c r="O70" s="478">
        <f t="shared" si="2"/>
        <v>0</v>
      </c>
      <c r="P70" s="243"/>
    </row>
    <row r="71" spans="2:16">
      <c r="B71" s="160" t="str">
        <f t="shared" si="5"/>
        <v/>
      </c>
      <c r="C71" s="472">
        <f>IF(D11="","-",+C70+1)</f>
        <v>2073</v>
      </c>
      <c r="D71" s="483">
        <f>IF(F70+SUM(E$17:E70)=D$10,F70,D$10-SUM(E$17:E70))</f>
        <v>0</v>
      </c>
      <c r="E71" s="484">
        <f t="shared" si="6"/>
        <v>0</v>
      </c>
      <c r="F71" s="485">
        <f t="shared" si="7"/>
        <v>0</v>
      </c>
      <c r="G71" s="486">
        <f t="shared" si="8"/>
        <v>0</v>
      </c>
      <c r="H71" s="455">
        <f t="shared" si="9"/>
        <v>0</v>
      </c>
      <c r="I71" s="475">
        <f t="shared" si="3"/>
        <v>0</v>
      </c>
      <c r="J71" s="475"/>
      <c r="K71" s="487"/>
      <c r="L71" s="478">
        <f t="shared" si="10"/>
        <v>0</v>
      </c>
      <c r="M71" s="487"/>
      <c r="N71" s="478">
        <f t="shared" si="1"/>
        <v>0</v>
      </c>
      <c r="O71" s="478">
        <f t="shared" si="2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2074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10"/>
        <v>0</v>
      </c>
      <c r="M72" s="494"/>
      <c r="N72" s="495">
        <f t="shared" si="1"/>
        <v>0</v>
      </c>
      <c r="O72" s="495">
        <f t="shared" si="2"/>
        <v>0</v>
      </c>
      <c r="P72" s="243"/>
    </row>
    <row r="73" spans="2:16">
      <c r="C73" s="347" t="s">
        <v>77</v>
      </c>
      <c r="D73" s="348"/>
      <c r="E73" s="348">
        <f>SUM(E17:E72)</f>
        <v>8147276.9999999991</v>
      </c>
      <c r="F73" s="348"/>
      <c r="G73" s="348">
        <f>SUM(G17:G72)</f>
        <v>28450812.696430527</v>
      </c>
      <c r="H73" s="348">
        <f>SUM(H17:H72)</f>
        <v>28450812.696430527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26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1203224.4158022963</v>
      </c>
      <c r="N87" s="508">
        <f>IF(J92&lt;D11,0,VLOOKUP(J92,C17:O72,11))</f>
        <v>1203224.4158022963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1093013.4811459687</v>
      </c>
      <c r="N88" s="512">
        <f>IF(J92&lt;D11,0,VLOOKUP(J92,C99:P154,7))</f>
        <v>1093013.4811459687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Tulsa Southeast - E. 61st St 138 kV Rebuild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-110210.93465632759</v>
      </c>
      <c r="N89" s="517">
        <f>+N88-N87</f>
        <v>-110210.93465632759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TP2017011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8147701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v>2019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198724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2019</v>
      </c>
      <c r="D99" s="584">
        <v>0</v>
      </c>
      <c r="E99" s="608">
        <v>0</v>
      </c>
      <c r="F99" s="584">
        <v>6388896</v>
      </c>
      <c r="G99" s="608">
        <v>3194448</v>
      </c>
      <c r="H99" s="587">
        <v>329392.39438521734</v>
      </c>
      <c r="I99" s="607">
        <v>329392.39438521734</v>
      </c>
      <c r="J99" s="478">
        <f>+I99-H99</f>
        <v>0</v>
      </c>
      <c r="K99" s="478"/>
      <c r="L99" s="477">
        <f>+H99</f>
        <v>329392.39438521734</v>
      </c>
      <c r="M99" s="477">
        <f t="shared" ref="M99" si="11">IF(L99&lt;&gt;0,+H99-L99,0)</f>
        <v>0</v>
      </c>
      <c r="N99" s="477">
        <f>+I99</f>
        <v>329392.39438521734</v>
      </c>
      <c r="O99" s="477">
        <f t="shared" ref="O99:O130" si="12">IF(N99&lt;&gt;0,+I99-N99,0)</f>
        <v>0</v>
      </c>
      <c r="P99" s="477">
        <f t="shared" ref="P99:P130" si="13">+O99-M99</f>
        <v>0</v>
      </c>
    </row>
    <row r="100" spans="1:16">
      <c r="B100" s="160" t="str">
        <f>IF(D100=F99,"","IU")</f>
        <v>IU</v>
      </c>
      <c r="C100" s="472">
        <f>IF(D93="","-",+C99+1)</f>
        <v>2020</v>
      </c>
      <c r="D100" s="584">
        <v>8144614</v>
      </c>
      <c r="E100" s="585">
        <v>189410</v>
      </c>
      <c r="F100" s="586">
        <v>7955204</v>
      </c>
      <c r="G100" s="586">
        <v>8049909</v>
      </c>
      <c r="H100" s="606">
        <v>1117542.3763000495</v>
      </c>
      <c r="I100" s="607">
        <v>1117542.3763000495</v>
      </c>
      <c r="J100" s="478">
        <f t="shared" ref="J100:J130" si="14">+I100-H100</f>
        <v>0</v>
      </c>
      <c r="K100" s="478"/>
      <c r="L100" s="476">
        <f>H100</f>
        <v>1117542.3763000495</v>
      </c>
      <c r="M100" s="349">
        <f>IF(L100&lt;&gt;0,+H100-L100,0)</f>
        <v>0</v>
      </c>
      <c r="N100" s="476">
        <f>I100</f>
        <v>1117542.3763000495</v>
      </c>
      <c r="O100" s="478">
        <f t="shared" si="12"/>
        <v>0</v>
      </c>
      <c r="P100" s="478">
        <f t="shared" si="13"/>
        <v>0</v>
      </c>
    </row>
    <row r="101" spans="1:16">
      <c r="B101" s="160" t="str">
        <f t="shared" ref="B101:B154" si="15">IF(D101=F100,"","IU")</f>
        <v>IU</v>
      </c>
      <c r="C101" s="472">
        <f>IF(D93="","-",+C100+1)</f>
        <v>2021</v>
      </c>
      <c r="D101" s="347">
        <f>IF(F100+SUM(E$99:E100)=D$92,F100,D$92-SUM(E$99:E100))</f>
        <v>7958291</v>
      </c>
      <c r="E101" s="484">
        <f t="shared" ref="E101:E154" si="16">IF(+J$96&lt;F100,J$96,D101)</f>
        <v>198724</v>
      </c>
      <c r="F101" s="485">
        <f t="shared" ref="F101:F154" si="17">+D101-E101</f>
        <v>7759567</v>
      </c>
      <c r="G101" s="485">
        <f t="shared" ref="G101:G154" si="18">+(F101+D101)/2</f>
        <v>7858929</v>
      </c>
      <c r="H101" s="486">
        <f t="shared" ref="H101:H153" si="19">(D101+F101)/2*J$94+E101</f>
        <v>1093013.4811459687</v>
      </c>
      <c r="I101" s="542">
        <f t="shared" ref="I101:I153" si="20">+J$95*G101+E101</f>
        <v>1093013.4811459687</v>
      </c>
      <c r="J101" s="478">
        <f t="shared" si="14"/>
        <v>0</v>
      </c>
      <c r="K101" s="478"/>
      <c r="L101" s="487"/>
      <c r="M101" s="478">
        <f t="shared" ref="M101:M130" si="21">IF(L101&lt;&gt;0,+H101-L101,0)</f>
        <v>0</v>
      </c>
      <c r="N101" s="487"/>
      <c r="O101" s="478">
        <f t="shared" si="12"/>
        <v>0</v>
      </c>
      <c r="P101" s="478">
        <f t="shared" si="13"/>
        <v>0</v>
      </c>
    </row>
    <row r="102" spans="1:16">
      <c r="B102" s="160" t="str">
        <f t="shared" si="15"/>
        <v/>
      </c>
      <c r="C102" s="472">
        <f>IF(D93="","-",+C101+1)</f>
        <v>2022</v>
      </c>
      <c r="D102" s="347">
        <f>IF(F101+SUM(E$99:E101)=D$92,F101,D$92-SUM(E$99:E101))</f>
        <v>7759567</v>
      </c>
      <c r="E102" s="484">
        <f t="shared" si="16"/>
        <v>198724</v>
      </c>
      <c r="F102" s="485">
        <f t="shared" si="17"/>
        <v>7560843</v>
      </c>
      <c r="G102" s="485">
        <f t="shared" si="18"/>
        <v>7660205</v>
      </c>
      <c r="H102" s="486">
        <f t="shared" si="19"/>
        <v>1070400.1221435843</v>
      </c>
      <c r="I102" s="542">
        <f t="shared" si="20"/>
        <v>1070400.1221435843</v>
      </c>
      <c r="J102" s="478">
        <f t="shared" si="14"/>
        <v>0</v>
      </c>
      <c r="K102" s="478"/>
      <c r="L102" s="487"/>
      <c r="M102" s="478">
        <f t="shared" si="21"/>
        <v>0</v>
      </c>
      <c r="N102" s="487"/>
      <c r="O102" s="478">
        <f t="shared" si="12"/>
        <v>0</v>
      </c>
      <c r="P102" s="478">
        <f t="shared" si="13"/>
        <v>0</v>
      </c>
    </row>
    <row r="103" spans="1:16">
      <c r="B103" s="160" t="str">
        <f t="shared" si="15"/>
        <v/>
      </c>
      <c r="C103" s="472">
        <f>IF(D93="","-",+C102+1)</f>
        <v>2023</v>
      </c>
      <c r="D103" s="347">
        <f>IF(F102+SUM(E$99:E102)=D$92,F102,D$92-SUM(E$99:E102))</f>
        <v>7560843</v>
      </c>
      <c r="E103" s="484">
        <f t="shared" si="16"/>
        <v>198724</v>
      </c>
      <c r="F103" s="485">
        <f t="shared" si="17"/>
        <v>7362119</v>
      </c>
      <c r="G103" s="485">
        <f t="shared" si="18"/>
        <v>7461481</v>
      </c>
      <c r="H103" s="486">
        <f t="shared" si="19"/>
        <v>1047786.7631411996</v>
      </c>
      <c r="I103" s="542">
        <f t="shared" si="20"/>
        <v>1047786.7631411996</v>
      </c>
      <c r="J103" s="478">
        <f t="shared" si="14"/>
        <v>0</v>
      </c>
      <c r="K103" s="478"/>
      <c r="L103" s="487"/>
      <c r="M103" s="478">
        <f t="shared" si="21"/>
        <v>0</v>
      </c>
      <c r="N103" s="487"/>
      <c r="O103" s="478">
        <f t="shared" si="12"/>
        <v>0</v>
      </c>
      <c r="P103" s="478">
        <f t="shared" si="13"/>
        <v>0</v>
      </c>
    </row>
    <row r="104" spans="1:16">
      <c r="B104" s="160" t="str">
        <f t="shared" si="15"/>
        <v/>
      </c>
      <c r="C104" s="472">
        <f>IF(D93="","-",+C103+1)</f>
        <v>2024</v>
      </c>
      <c r="D104" s="347">
        <f>IF(F103+SUM(E$99:E103)=D$92,F103,D$92-SUM(E$99:E103))</f>
        <v>7362119</v>
      </c>
      <c r="E104" s="484">
        <f t="shared" si="16"/>
        <v>198724</v>
      </c>
      <c r="F104" s="485">
        <f t="shared" si="17"/>
        <v>7163395</v>
      </c>
      <c r="G104" s="485">
        <f t="shared" si="18"/>
        <v>7262757</v>
      </c>
      <c r="H104" s="486">
        <f t="shared" si="19"/>
        <v>1025173.404138815</v>
      </c>
      <c r="I104" s="542">
        <f t="shared" si="20"/>
        <v>1025173.404138815</v>
      </c>
      <c r="J104" s="478">
        <f t="shared" si="14"/>
        <v>0</v>
      </c>
      <c r="K104" s="478"/>
      <c r="L104" s="487"/>
      <c r="M104" s="478">
        <f t="shared" si="21"/>
        <v>0</v>
      </c>
      <c r="N104" s="487"/>
      <c r="O104" s="478">
        <f t="shared" si="12"/>
        <v>0</v>
      </c>
      <c r="P104" s="478">
        <f t="shared" si="13"/>
        <v>0</v>
      </c>
    </row>
    <row r="105" spans="1:16">
      <c r="B105" s="160" t="str">
        <f t="shared" si="15"/>
        <v/>
      </c>
      <c r="C105" s="472">
        <f>IF(D93="","-",+C104+1)</f>
        <v>2025</v>
      </c>
      <c r="D105" s="347">
        <f>IF(F104+SUM(E$99:E104)=D$92,F104,D$92-SUM(E$99:E104))</f>
        <v>7163395</v>
      </c>
      <c r="E105" s="484">
        <f t="shared" si="16"/>
        <v>198724</v>
      </c>
      <c r="F105" s="485">
        <f t="shared" si="17"/>
        <v>6964671</v>
      </c>
      <c r="G105" s="485">
        <f t="shared" si="18"/>
        <v>7064033</v>
      </c>
      <c r="H105" s="486">
        <f t="shared" si="19"/>
        <v>1002560.0451364304</v>
      </c>
      <c r="I105" s="542">
        <f t="shared" si="20"/>
        <v>1002560.0451364304</v>
      </c>
      <c r="J105" s="478">
        <f t="shared" si="14"/>
        <v>0</v>
      </c>
      <c r="K105" s="478"/>
      <c r="L105" s="487"/>
      <c r="M105" s="478">
        <f t="shared" si="21"/>
        <v>0</v>
      </c>
      <c r="N105" s="487"/>
      <c r="O105" s="478">
        <f t="shared" si="12"/>
        <v>0</v>
      </c>
      <c r="P105" s="478">
        <f t="shared" si="13"/>
        <v>0</v>
      </c>
    </row>
    <row r="106" spans="1:16">
      <c r="B106" s="160" t="str">
        <f t="shared" si="15"/>
        <v/>
      </c>
      <c r="C106" s="472">
        <f>IF(D93="","-",+C105+1)</f>
        <v>2026</v>
      </c>
      <c r="D106" s="347">
        <f>IF(F105+SUM(E$99:E105)=D$92,F105,D$92-SUM(E$99:E105))</f>
        <v>6964671</v>
      </c>
      <c r="E106" s="484">
        <f t="shared" si="16"/>
        <v>198724</v>
      </c>
      <c r="F106" s="485">
        <f t="shared" si="17"/>
        <v>6765947</v>
      </c>
      <c r="G106" s="485">
        <f t="shared" si="18"/>
        <v>6865309</v>
      </c>
      <c r="H106" s="486">
        <f t="shared" si="19"/>
        <v>979946.68613404571</v>
      </c>
      <c r="I106" s="542">
        <f t="shared" si="20"/>
        <v>979946.68613404571</v>
      </c>
      <c r="J106" s="478">
        <f t="shared" si="14"/>
        <v>0</v>
      </c>
      <c r="K106" s="478"/>
      <c r="L106" s="487"/>
      <c r="M106" s="478">
        <f t="shared" si="21"/>
        <v>0</v>
      </c>
      <c r="N106" s="487"/>
      <c r="O106" s="478">
        <f t="shared" si="12"/>
        <v>0</v>
      </c>
      <c r="P106" s="478">
        <f t="shared" si="13"/>
        <v>0</v>
      </c>
    </row>
    <row r="107" spans="1:16">
      <c r="B107" s="160" t="str">
        <f t="shared" si="15"/>
        <v/>
      </c>
      <c r="C107" s="472">
        <f>IF(D93="","-",+C106+1)</f>
        <v>2027</v>
      </c>
      <c r="D107" s="347">
        <f>IF(F106+SUM(E$99:E106)=D$92,F106,D$92-SUM(E$99:E106))</f>
        <v>6765947</v>
      </c>
      <c r="E107" s="484">
        <f t="shared" si="16"/>
        <v>198724</v>
      </c>
      <c r="F107" s="485">
        <f t="shared" si="17"/>
        <v>6567223</v>
      </c>
      <c r="G107" s="485">
        <f t="shared" si="18"/>
        <v>6666585</v>
      </c>
      <c r="H107" s="486">
        <f t="shared" si="19"/>
        <v>957333.32713166112</v>
      </c>
      <c r="I107" s="542">
        <f t="shared" si="20"/>
        <v>957333.32713166112</v>
      </c>
      <c r="J107" s="478">
        <f t="shared" si="14"/>
        <v>0</v>
      </c>
      <c r="K107" s="478"/>
      <c r="L107" s="487"/>
      <c r="M107" s="478">
        <f t="shared" si="21"/>
        <v>0</v>
      </c>
      <c r="N107" s="487"/>
      <c r="O107" s="478">
        <f t="shared" si="12"/>
        <v>0</v>
      </c>
      <c r="P107" s="478">
        <f t="shared" si="13"/>
        <v>0</v>
      </c>
    </row>
    <row r="108" spans="1:16">
      <c r="B108" s="160" t="str">
        <f t="shared" si="15"/>
        <v/>
      </c>
      <c r="C108" s="472">
        <f>IF(D93="","-",+C107+1)</f>
        <v>2028</v>
      </c>
      <c r="D108" s="347">
        <f>IF(F107+SUM(E$99:E107)=D$92,F107,D$92-SUM(E$99:E107))</f>
        <v>6567223</v>
      </c>
      <c r="E108" s="484">
        <f t="shared" si="16"/>
        <v>198724</v>
      </c>
      <c r="F108" s="485">
        <f t="shared" si="17"/>
        <v>6368499</v>
      </c>
      <c r="G108" s="485">
        <f t="shared" si="18"/>
        <v>6467861</v>
      </c>
      <c r="H108" s="486">
        <f t="shared" si="19"/>
        <v>934719.96812927653</v>
      </c>
      <c r="I108" s="542">
        <f t="shared" si="20"/>
        <v>934719.96812927653</v>
      </c>
      <c r="J108" s="478">
        <f t="shared" si="14"/>
        <v>0</v>
      </c>
      <c r="K108" s="478"/>
      <c r="L108" s="487"/>
      <c r="M108" s="478">
        <f t="shared" si="21"/>
        <v>0</v>
      </c>
      <c r="N108" s="487"/>
      <c r="O108" s="478">
        <f t="shared" si="12"/>
        <v>0</v>
      </c>
      <c r="P108" s="478">
        <f t="shared" si="13"/>
        <v>0</v>
      </c>
    </row>
    <row r="109" spans="1:16">
      <c r="B109" s="160" t="str">
        <f t="shared" si="15"/>
        <v/>
      </c>
      <c r="C109" s="472">
        <f>IF(D93="","-",+C108+1)</f>
        <v>2029</v>
      </c>
      <c r="D109" s="347">
        <f>IF(F108+SUM(E$99:E108)=D$92,F108,D$92-SUM(E$99:E108))</f>
        <v>6368499</v>
      </c>
      <c r="E109" s="484">
        <f t="shared" si="16"/>
        <v>198724</v>
      </c>
      <c r="F109" s="485">
        <f t="shared" si="17"/>
        <v>6169775</v>
      </c>
      <c r="G109" s="485">
        <f t="shared" si="18"/>
        <v>6269137</v>
      </c>
      <c r="H109" s="486">
        <f t="shared" si="19"/>
        <v>912106.60912689194</v>
      </c>
      <c r="I109" s="542">
        <f t="shared" si="20"/>
        <v>912106.60912689194</v>
      </c>
      <c r="J109" s="478">
        <f t="shared" si="14"/>
        <v>0</v>
      </c>
      <c r="K109" s="478"/>
      <c r="L109" s="487"/>
      <c r="M109" s="478">
        <f t="shared" si="21"/>
        <v>0</v>
      </c>
      <c r="N109" s="487"/>
      <c r="O109" s="478">
        <f t="shared" si="12"/>
        <v>0</v>
      </c>
      <c r="P109" s="478">
        <f t="shared" si="13"/>
        <v>0</v>
      </c>
    </row>
    <row r="110" spans="1:16">
      <c r="B110" s="160" t="str">
        <f t="shared" si="15"/>
        <v/>
      </c>
      <c r="C110" s="472">
        <f>IF(D93="","-",+C109+1)</f>
        <v>2030</v>
      </c>
      <c r="D110" s="347">
        <f>IF(F109+SUM(E$99:E109)=D$92,F109,D$92-SUM(E$99:E109))</f>
        <v>6169775</v>
      </c>
      <c r="E110" s="484">
        <f t="shared" si="16"/>
        <v>198724</v>
      </c>
      <c r="F110" s="485">
        <f t="shared" si="17"/>
        <v>5971051</v>
      </c>
      <c r="G110" s="485">
        <f t="shared" si="18"/>
        <v>6070413</v>
      </c>
      <c r="H110" s="486">
        <f t="shared" si="19"/>
        <v>889493.25012450735</v>
      </c>
      <c r="I110" s="542">
        <f t="shared" si="20"/>
        <v>889493.25012450735</v>
      </c>
      <c r="J110" s="478">
        <f t="shared" si="14"/>
        <v>0</v>
      </c>
      <c r="K110" s="478"/>
      <c r="L110" s="487"/>
      <c r="M110" s="478">
        <f t="shared" si="21"/>
        <v>0</v>
      </c>
      <c r="N110" s="487"/>
      <c r="O110" s="478">
        <f t="shared" si="12"/>
        <v>0</v>
      </c>
      <c r="P110" s="478">
        <f t="shared" si="13"/>
        <v>0</v>
      </c>
    </row>
    <row r="111" spans="1:16">
      <c r="B111" s="160" t="str">
        <f t="shared" si="15"/>
        <v/>
      </c>
      <c r="C111" s="472">
        <f>IF(D93="","-",+C110+1)</f>
        <v>2031</v>
      </c>
      <c r="D111" s="347">
        <f>IF(F110+SUM(E$99:E110)=D$92,F110,D$92-SUM(E$99:E110))</f>
        <v>5971051</v>
      </c>
      <c r="E111" s="484">
        <f t="shared" si="16"/>
        <v>198724</v>
      </c>
      <c r="F111" s="485">
        <f t="shared" si="17"/>
        <v>5772327</v>
      </c>
      <c r="G111" s="485">
        <f t="shared" si="18"/>
        <v>5871689</v>
      </c>
      <c r="H111" s="486">
        <f t="shared" si="19"/>
        <v>866879.89112212264</v>
      </c>
      <c r="I111" s="542">
        <f t="shared" si="20"/>
        <v>866879.89112212264</v>
      </c>
      <c r="J111" s="478">
        <f t="shared" si="14"/>
        <v>0</v>
      </c>
      <c r="K111" s="478"/>
      <c r="L111" s="487"/>
      <c r="M111" s="478">
        <f t="shared" si="21"/>
        <v>0</v>
      </c>
      <c r="N111" s="487"/>
      <c r="O111" s="478">
        <f t="shared" si="12"/>
        <v>0</v>
      </c>
      <c r="P111" s="478">
        <f t="shared" si="13"/>
        <v>0</v>
      </c>
    </row>
    <row r="112" spans="1:16">
      <c r="B112" s="160" t="str">
        <f t="shared" si="15"/>
        <v/>
      </c>
      <c r="C112" s="472">
        <f>IF(D93="","-",+C111+1)</f>
        <v>2032</v>
      </c>
      <c r="D112" s="347">
        <f>IF(F111+SUM(E$99:E111)=D$92,F111,D$92-SUM(E$99:E111))</f>
        <v>5772327</v>
      </c>
      <c r="E112" s="484">
        <f t="shared" si="16"/>
        <v>198724</v>
      </c>
      <c r="F112" s="485">
        <f t="shared" si="17"/>
        <v>5573603</v>
      </c>
      <c r="G112" s="485">
        <f t="shared" si="18"/>
        <v>5672965</v>
      </c>
      <c r="H112" s="486">
        <f t="shared" si="19"/>
        <v>844266.53211973805</v>
      </c>
      <c r="I112" s="542">
        <f t="shared" si="20"/>
        <v>844266.53211973805</v>
      </c>
      <c r="J112" s="478">
        <f t="shared" si="14"/>
        <v>0</v>
      </c>
      <c r="K112" s="478"/>
      <c r="L112" s="487"/>
      <c r="M112" s="478">
        <f t="shared" si="21"/>
        <v>0</v>
      </c>
      <c r="N112" s="487"/>
      <c r="O112" s="478">
        <f t="shared" si="12"/>
        <v>0</v>
      </c>
      <c r="P112" s="478">
        <f t="shared" si="13"/>
        <v>0</v>
      </c>
    </row>
    <row r="113" spans="2:16">
      <c r="B113" s="160" t="str">
        <f t="shared" si="15"/>
        <v/>
      </c>
      <c r="C113" s="472">
        <f>IF(D93="","-",+C112+1)</f>
        <v>2033</v>
      </c>
      <c r="D113" s="347">
        <f>IF(F112+SUM(E$99:E112)=D$92,F112,D$92-SUM(E$99:E112))</f>
        <v>5573603</v>
      </c>
      <c r="E113" s="484">
        <f t="shared" si="16"/>
        <v>198724</v>
      </c>
      <c r="F113" s="485">
        <f t="shared" si="17"/>
        <v>5374879</v>
      </c>
      <c r="G113" s="485">
        <f t="shared" si="18"/>
        <v>5474241</v>
      </c>
      <c r="H113" s="486">
        <f t="shared" si="19"/>
        <v>821653.17311735346</v>
      </c>
      <c r="I113" s="542">
        <f t="shared" si="20"/>
        <v>821653.17311735346</v>
      </c>
      <c r="J113" s="478">
        <f t="shared" si="14"/>
        <v>0</v>
      </c>
      <c r="K113" s="478"/>
      <c r="L113" s="487"/>
      <c r="M113" s="478">
        <f t="shared" si="21"/>
        <v>0</v>
      </c>
      <c r="N113" s="487"/>
      <c r="O113" s="478">
        <f t="shared" si="12"/>
        <v>0</v>
      </c>
      <c r="P113" s="478">
        <f t="shared" si="13"/>
        <v>0</v>
      </c>
    </row>
    <row r="114" spans="2:16">
      <c r="B114" s="160" t="str">
        <f t="shared" si="15"/>
        <v/>
      </c>
      <c r="C114" s="472">
        <f>IF(D93="","-",+C113+1)</f>
        <v>2034</v>
      </c>
      <c r="D114" s="347">
        <f>IF(F113+SUM(E$99:E113)=D$92,F113,D$92-SUM(E$99:E113))</f>
        <v>5374879</v>
      </c>
      <c r="E114" s="484">
        <f t="shared" si="16"/>
        <v>198724</v>
      </c>
      <c r="F114" s="485">
        <f t="shared" si="17"/>
        <v>5176155</v>
      </c>
      <c r="G114" s="485">
        <f t="shared" si="18"/>
        <v>5275517</v>
      </c>
      <c r="H114" s="486">
        <f t="shared" si="19"/>
        <v>799039.81411496887</v>
      </c>
      <c r="I114" s="542">
        <f t="shared" si="20"/>
        <v>799039.81411496887</v>
      </c>
      <c r="J114" s="478">
        <f t="shared" si="14"/>
        <v>0</v>
      </c>
      <c r="K114" s="478"/>
      <c r="L114" s="487"/>
      <c r="M114" s="478">
        <f t="shared" si="21"/>
        <v>0</v>
      </c>
      <c r="N114" s="487"/>
      <c r="O114" s="478">
        <f t="shared" si="12"/>
        <v>0</v>
      </c>
      <c r="P114" s="478">
        <f t="shared" si="13"/>
        <v>0</v>
      </c>
    </row>
    <row r="115" spans="2:16">
      <c r="B115" s="160" t="str">
        <f t="shared" si="15"/>
        <v/>
      </c>
      <c r="C115" s="472">
        <f>IF(D93="","-",+C114+1)</f>
        <v>2035</v>
      </c>
      <c r="D115" s="347">
        <f>IF(F114+SUM(E$99:E114)=D$92,F114,D$92-SUM(E$99:E114))</f>
        <v>5176155</v>
      </c>
      <c r="E115" s="484">
        <f t="shared" si="16"/>
        <v>198724</v>
      </c>
      <c r="F115" s="485">
        <f t="shared" si="17"/>
        <v>4977431</v>
      </c>
      <c r="G115" s="485">
        <f t="shared" si="18"/>
        <v>5076793</v>
      </c>
      <c r="H115" s="486">
        <f t="shared" si="19"/>
        <v>776426.45511258428</v>
      </c>
      <c r="I115" s="542">
        <f t="shared" si="20"/>
        <v>776426.45511258428</v>
      </c>
      <c r="J115" s="478">
        <f t="shared" si="14"/>
        <v>0</v>
      </c>
      <c r="K115" s="478"/>
      <c r="L115" s="487"/>
      <c r="M115" s="478">
        <f t="shared" si="21"/>
        <v>0</v>
      </c>
      <c r="N115" s="487"/>
      <c r="O115" s="478">
        <f t="shared" si="12"/>
        <v>0</v>
      </c>
      <c r="P115" s="478">
        <f t="shared" si="13"/>
        <v>0</v>
      </c>
    </row>
    <row r="116" spans="2:16">
      <c r="B116" s="160" t="str">
        <f t="shared" si="15"/>
        <v/>
      </c>
      <c r="C116" s="472">
        <f>IF(D93="","-",+C115+1)</f>
        <v>2036</v>
      </c>
      <c r="D116" s="347">
        <f>IF(F115+SUM(E$99:E115)=D$92,F115,D$92-SUM(E$99:E115))</f>
        <v>4977431</v>
      </c>
      <c r="E116" s="484">
        <f t="shared" si="16"/>
        <v>198724</v>
      </c>
      <c r="F116" s="485">
        <f t="shared" si="17"/>
        <v>4778707</v>
      </c>
      <c r="G116" s="485">
        <f t="shared" si="18"/>
        <v>4878069</v>
      </c>
      <c r="H116" s="486">
        <f t="shared" si="19"/>
        <v>753813.09611019958</v>
      </c>
      <c r="I116" s="542">
        <f t="shared" si="20"/>
        <v>753813.09611019958</v>
      </c>
      <c r="J116" s="478">
        <f t="shared" si="14"/>
        <v>0</v>
      </c>
      <c r="K116" s="478"/>
      <c r="L116" s="487"/>
      <c r="M116" s="478">
        <f t="shared" si="21"/>
        <v>0</v>
      </c>
      <c r="N116" s="487"/>
      <c r="O116" s="478">
        <f t="shared" si="12"/>
        <v>0</v>
      </c>
      <c r="P116" s="478">
        <f t="shared" si="13"/>
        <v>0</v>
      </c>
    </row>
    <row r="117" spans="2:16">
      <c r="B117" s="160" t="str">
        <f t="shared" si="15"/>
        <v/>
      </c>
      <c r="C117" s="472">
        <f>IF(D93="","-",+C116+1)</f>
        <v>2037</v>
      </c>
      <c r="D117" s="347">
        <f>IF(F116+SUM(E$99:E116)=D$92,F116,D$92-SUM(E$99:E116))</f>
        <v>4778707</v>
      </c>
      <c r="E117" s="484">
        <f t="shared" si="16"/>
        <v>198724</v>
      </c>
      <c r="F117" s="485">
        <f t="shared" si="17"/>
        <v>4579983</v>
      </c>
      <c r="G117" s="485">
        <f t="shared" si="18"/>
        <v>4679345</v>
      </c>
      <c r="H117" s="486">
        <f t="shared" si="19"/>
        <v>731199.73710781499</v>
      </c>
      <c r="I117" s="542">
        <f t="shared" si="20"/>
        <v>731199.73710781499</v>
      </c>
      <c r="J117" s="478">
        <f t="shared" si="14"/>
        <v>0</v>
      </c>
      <c r="K117" s="478"/>
      <c r="L117" s="487"/>
      <c r="M117" s="478">
        <f t="shared" si="21"/>
        <v>0</v>
      </c>
      <c r="N117" s="487"/>
      <c r="O117" s="478">
        <f t="shared" si="12"/>
        <v>0</v>
      </c>
      <c r="P117" s="478">
        <f t="shared" si="13"/>
        <v>0</v>
      </c>
    </row>
    <row r="118" spans="2:16">
      <c r="B118" s="160" t="str">
        <f t="shared" si="15"/>
        <v/>
      </c>
      <c r="C118" s="472">
        <f>IF(D93="","-",+C117+1)</f>
        <v>2038</v>
      </c>
      <c r="D118" s="347">
        <f>IF(F117+SUM(E$99:E117)=D$92,F117,D$92-SUM(E$99:E117))</f>
        <v>4579983</v>
      </c>
      <c r="E118" s="484">
        <f t="shared" si="16"/>
        <v>198724</v>
      </c>
      <c r="F118" s="485">
        <f t="shared" si="17"/>
        <v>4381259</v>
      </c>
      <c r="G118" s="485">
        <f t="shared" si="18"/>
        <v>4480621</v>
      </c>
      <c r="H118" s="486">
        <f t="shared" si="19"/>
        <v>708586.3781054304</v>
      </c>
      <c r="I118" s="542">
        <f t="shared" si="20"/>
        <v>708586.3781054304</v>
      </c>
      <c r="J118" s="478">
        <f t="shared" si="14"/>
        <v>0</v>
      </c>
      <c r="K118" s="478"/>
      <c r="L118" s="487"/>
      <c r="M118" s="478">
        <f t="shared" si="21"/>
        <v>0</v>
      </c>
      <c r="N118" s="487"/>
      <c r="O118" s="478">
        <f t="shared" si="12"/>
        <v>0</v>
      </c>
      <c r="P118" s="478">
        <f t="shared" si="13"/>
        <v>0</v>
      </c>
    </row>
    <row r="119" spans="2:16">
      <c r="B119" s="160" t="str">
        <f t="shared" si="15"/>
        <v/>
      </c>
      <c r="C119" s="472">
        <f>IF(D93="","-",+C118+1)</f>
        <v>2039</v>
      </c>
      <c r="D119" s="347">
        <f>IF(F118+SUM(E$99:E118)=D$92,F118,D$92-SUM(E$99:E118))</f>
        <v>4381259</v>
      </c>
      <c r="E119" s="484">
        <f t="shared" si="16"/>
        <v>198724</v>
      </c>
      <c r="F119" s="485">
        <f t="shared" si="17"/>
        <v>4182535</v>
      </c>
      <c r="G119" s="485">
        <f t="shared" si="18"/>
        <v>4281897</v>
      </c>
      <c r="H119" s="486">
        <f t="shared" si="19"/>
        <v>685973.01910304581</v>
      </c>
      <c r="I119" s="542">
        <f t="shared" si="20"/>
        <v>685973.01910304581</v>
      </c>
      <c r="J119" s="478">
        <f t="shared" si="14"/>
        <v>0</v>
      </c>
      <c r="K119" s="478"/>
      <c r="L119" s="487"/>
      <c r="M119" s="478">
        <f t="shared" si="21"/>
        <v>0</v>
      </c>
      <c r="N119" s="487"/>
      <c r="O119" s="478">
        <f t="shared" si="12"/>
        <v>0</v>
      </c>
      <c r="P119" s="478">
        <f t="shared" si="13"/>
        <v>0</v>
      </c>
    </row>
    <row r="120" spans="2:16">
      <c r="B120" s="160" t="str">
        <f t="shared" si="15"/>
        <v/>
      </c>
      <c r="C120" s="472">
        <f>IF(D93="","-",+C119+1)</f>
        <v>2040</v>
      </c>
      <c r="D120" s="347">
        <f>IF(F119+SUM(E$99:E119)=D$92,F119,D$92-SUM(E$99:E119))</f>
        <v>4182535</v>
      </c>
      <c r="E120" s="484">
        <f t="shared" si="16"/>
        <v>198724</v>
      </c>
      <c r="F120" s="485">
        <f t="shared" si="17"/>
        <v>3983811</v>
      </c>
      <c r="G120" s="485">
        <f t="shared" si="18"/>
        <v>4083173</v>
      </c>
      <c r="H120" s="486">
        <f t="shared" si="19"/>
        <v>663359.66010066122</v>
      </c>
      <c r="I120" s="542">
        <f t="shared" si="20"/>
        <v>663359.66010066122</v>
      </c>
      <c r="J120" s="478">
        <f t="shared" si="14"/>
        <v>0</v>
      </c>
      <c r="K120" s="478"/>
      <c r="L120" s="487"/>
      <c r="M120" s="478">
        <f t="shared" si="21"/>
        <v>0</v>
      </c>
      <c r="N120" s="487"/>
      <c r="O120" s="478">
        <f t="shared" si="12"/>
        <v>0</v>
      </c>
      <c r="P120" s="478">
        <f t="shared" si="13"/>
        <v>0</v>
      </c>
    </row>
    <row r="121" spans="2:16">
      <c r="B121" s="160" t="str">
        <f t="shared" si="15"/>
        <v/>
      </c>
      <c r="C121" s="472">
        <f>IF(D93="","-",+C120+1)</f>
        <v>2041</v>
      </c>
      <c r="D121" s="347">
        <f>IF(F120+SUM(E$99:E120)=D$92,F120,D$92-SUM(E$99:E120))</f>
        <v>3983811</v>
      </c>
      <c r="E121" s="484">
        <f t="shared" si="16"/>
        <v>198724</v>
      </c>
      <c r="F121" s="485">
        <f t="shared" si="17"/>
        <v>3785087</v>
      </c>
      <c r="G121" s="485">
        <f t="shared" si="18"/>
        <v>3884449</v>
      </c>
      <c r="H121" s="486">
        <f t="shared" si="19"/>
        <v>640746.30109827663</v>
      </c>
      <c r="I121" s="542">
        <f t="shared" si="20"/>
        <v>640746.30109827663</v>
      </c>
      <c r="J121" s="478">
        <f t="shared" si="14"/>
        <v>0</v>
      </c>
      <c r="K121" s="478"/>
      <c r="L121" s="487"/>
      <c r="M121" s="478">
        <f t="shared" si="21"/>
        <v>0</v>
      </c>
      <c r="N121" s="487"/>
      <c r="O121" s="478">
        <f t="shared" si="12"/>
        <v>0</v>
      </c>
      <c r="P121" s="478">
        <f t="shared" si="13"/>
        <v>0</v>
      </c>
    </row>
    <row r="122" spans="2:16">
      <c r="B122" s="160" t="str">
        <f t="shared" si="15"/>
        <v/>
      </c>
      <c r="C122" s="472">
        <f>IF(D93="","-",+C121+1)</f>
        <v>2042</v>
      </c>
      <c r="D122" s="347">
        <f>IF(F121+SUM(E$99:E121)=D$92,F121,D$92-SUM(E$99:E121))</f>
        <v>3785087</v>
      </c>
      <c r="E122" s="484">
        <f t="shared" si="16"/>
        <v>198724</v>
      </c>
      <c r="F122" s="485">
        <f t="shared" si="17"/>
        <v>3586363</v>
      </c>
      <c r="G122" s="485">
        <f t="shared" si="18"/>
        <v>3685725</v>
      </c>
      <c r="H122" s="486">
        <f t="shared" si="19"/>
        <v>618132.94209589192</v>
      </c>
      <c r="I122" s="542">
        <f t="shared" si="20"/>
        <v>618132.94209589192</v>
      </c>
      <c r="J122" s="478">
        <f t="shared" si="14"/>
        <v>0</v>
      </c>
      <c r="K122" s="478"/>
      <c r="L122" s="487"/>
      <c r="M122" s="478">
        <f t="shared" si="21"/>
        <v>0</v>
      </c>
      <c r="N122" s="487"/>
      <c r="O122" s="478">
        <f t="shared" si="12"/>
        <v>0</v>
      </c>
      <c r="P122" s="478">
        <f t="shared" si="13"/>
        <v>0</v>
      </c>
    </row>
    <row r="123" spans="2:16">
      <c r="B123" s="160" t="str">
        <f t="shared" si="15"/>
        <v/>
      </c>
      <c r="C123" s="472">
        <f>IF(D93="","-",+C122+1)</f>
        <v>2043</v>
      </c>
      <c r="D123" s="347">
        <f>IF(F122+SUM(E$99:E122)=D$92,F122,D$92-SUM(E$99:E122))</f>
        <v>3586363</v>
      </c>
      <c r="E123" s="484">
        <f t="shared" si="16"/>
        <v>198724</v>
      </c>
      <c r="F123" s="485">
        <f t="shared" si="17"/>
        <v>3387639</v>
      </c>
      <c r="G123" s="485">
        <f t="shared" si="18"/>
        <v>3487001</v>
      </c>
      <c r="H123" s="486">
        <f t="shared" si="19"/>
        <v>595519.58309350733</v>
      </c>
      <c r="I123" s="542">
        <f t="shared" si="20"/>
        <v>595519.58309350733</v>
      </c>
      <c r="J123" s="478">
        <f t="shared" si="14"/>
        <v>0</v>
      </c>
      <c r="K123" s="478"/>
      <c r="L123" s="487"/>
      <c r="M123" s="478">
        <f t="shared" si="21"/>
        <v>0</v>
      </c>
      <c r="N123" s="487"/>
      <c r="O123" s="478">
        <f t="shared" si="12"/>
        <v>0</v>
      </c>
      <c r="P123" s="478">
        <f t="shared" si="13"/>
        <v>0</v>
      </c>
    </row>
    <row r="124" spans="2:16">
      <c r="B124" s="160" t="str">
        <f t="shared" si="15"/>
        <v/>
      </c>
      <c r="C124" s="472">
        <f>IF(D93="","-",+C123+1)</f>
        <v>2044</v>
      </c>
      <c r="D124" s="347">
        <f>IF(F123+SUM(E$99:E123)=D$92,F123,D$92-SUM(E$99:E123))</f>
        <v>3387639</v>
      </c>
      <c r="E124" s="484">
        <f t="shared" si="16"/>
        <v>198724</v>
      </c>
      <c r="F124" s="485">
        <f t="shared" si="17"/>
        <v>3188915</v>
      </c>
      <c r="G124" s="485">
        <f t="shared" si="18"/>
        <v>3288277</v>
      </c>
      <c r="H124" s="486">
        <f t="shared" si="19"/>
        <v>572906.22409112274</v>
      </c>
      <c r="I124" s="542">
        <f t="shared" si="20"/>
        <v>572906.22409112274</v>
      </c>
      <c r="J124" s="478">
        <f t="shared" si="14"/>
        <v>0</v>
      </c>
      <c r="K124" s="478"/>
      <c r="L124" s="487"/>
      <c r="M124" s="478">
        <f t="shared" si="21"/>
        <v>0</v>
      </c>
      <c r="N124" s="487"/>
      <c r="O124" s="478">
        <f t="shared" si="12"/>
        <v>0</v>
      </c>
      <c r="P124" s="478">
        <f t="shared" si="13"/>
        <v>0</v>
      </c>
    </row>
    <row r="125" spans="2:16">
      <c r="B125" s="160" t="str">
        <f t="shared" si="15"/>
        <v/>
      </c>
      <c r="C125" s="472">
        <f>IF(D93="","-",+C124+1)</f>
        <v>2045</v>
      </c>
      <c r="D125" s="347">
        <f>IF(F124+SUM(E$99:E124)=D$92,F124,D$92-SUM(E$99:E124))</f>
        <v>3188915</v>
      </c>
      <c r="E125" s="484">
        <f t="shared" si="16"/>
        <v>198724</v>
      </c>
      <c r="F125" s="485">
        <f t="shared" si="17"/>
        <v>2990191</v>
      </c>
      <c r="G125" s="485">
        <f t="shared" si="18"/>
        <v>3089553</v>
      </c>
      <c r="H125" s="486">
        <f t="shared" si="19"/>
        <v>550292.86508873804</v>
      </c>
      <c r="I125" s="542">
        <f t="shared" si="20"/>
        <v>550292.86508873804</v>
      </c>
      <c r="J125" s="478">
        <f t="shared" si="14"/>
        <v>0</v>
      </c>
      <c r="K125" s="478"/>
      <c r="L125" s="487"/>
      <c r="M125" s="478">
        <f t="shared" si="21"/>
        <v>0</v>
      </c>
      <c r="N125" s="487"/>
      <c r="O125" s="478">
        <f t="shared" si="12"/>
        <v>0</v>
      </c>
      <c r="P125" s="478">
        <f t="shared" si="13"/>
        <v>0</v>
      </c>
    </row>
    <row r="126" spans="2:16">
      <c r="B126" s="160" t="str">
        <f t="shared" si="15"/>
        <v/>
      </c>
      <c r="C126" s="472">
        <f>IF(D93="","-",+C125+1)</f>
        <v>2046</v>
      </c>
      <c r="D126" s="347">
        <f>IF(F125+SUM(E$99:E125)=D$92,F125,D$92-SUM(E$99:E125))</f>
        <v>2990191</v>
      </c>
      <c r="E126" s="484">
        <f t="shared" si="16"/>
        <v>198724</v>
      </c>
      <c r="F126" s="485">
        <f t="shared" si="17"/>
        <v>2791467</v>
      </c>
      <c r="G126" s="485">
        <f t="shared" si="18"/>
        <v>2890829</v>
      </c>
      <c r="H126" s="486">
        <f t="shared" si="19"/>
        <v>527679.50608635345</v>
      </c>
      <c r="I126" s="542">
        <f t="shared" si="20"/>
        <v>527679.50608635345</v>
      </c>
      <c r="J126" s="478">
        <f t="shared" si="14"/>
        <v>0</v>
      </c>
      <c r="K126" s="478"/>
      <c r="L126" s="487"/>
      <c r="M126" s="478">
        <f t="shared" si="21"/>
        <v>0</v>
      </c>
      <c r="N126" s="487"/>
      <c r="O126" s="478">
        <f t="shared" si="12"/>
        <v>0</v>
      </c>
      <c r="P126" s="478">
        <f t="shared" si="13"/>
        <v>0</v>
      </c>
    </row>
    <row r="127" spans="2:16">
      <c r="B127" s="160" t="str">
        <f t="shared" si="15"/>
        <v/>
      </c>
      <c r="C127" s="472">
        <f>IF(D93="","-",+C126+1)</f>
        <v>2047</v>
      </c>
      <c r="D127" s="347">
        <f>IF(F126+SUM(E$99:E126)=D$92,F126,D$92-SUM(E$99:E126))</f>
        <v>2791467</v>
      </c>
      <c r="E127" s="484">
        <f t="shared" si="16"/>
        <v>198724</v>
      </c>
      <c r="F127" s="485">
        <f t="shared" si="17"/>
        <v>2592743</v>
      </c>
      <c r="G127" s="485">
        <f t="shared" si="18"/>
        <v>2692105</v>
      </c>
      <c r="H127" s="486">
        <f t="shared" si="19"/>
        <v>505066.14708396886</v>
      </c>
      <c r="I127" s="542">
        <f t="shared" si="20"/>
        <v>505066.14708396886</v>
      </c>
      <c r="J127" s="478">
        <f t="shared" si="14"/>
        <v>0</v>
      </c>
      <c r="K127" s="478"/>
      <c r="L127" s="487"/>
      <c r="M127" s="478">
        <f t="shared" si="21"/>
        <v>0</v>
      </c>
      <c r="N127" s="487"/>
      <c r="O127" s="478">
        <f t="shared" si="12"/>
        <v>0</v>
      </c>
      <c r="P127" s="478">
        <f t="shared" si="13"/>
        <v>0</v>
      </c>
    </row>
    <row r="128" spans="2:16">
      <c r="B128" s="160" t="str">
        <f t="shared" si="15"/>
        <v/>
      </c>
      <c r="C128" s="472">
        <f>IF(D93="","-",+C127+1)</f>
        <v>2048</v>
      </c>
      <c r="D128" s="347">
        <f>IF(F127+SUM(E$99:E127)=D$92,F127,D$92-SUM(E$99:E127))</f>
        <v>2592743</v>
      </c>
      <c r="E128" s="484">
        <f t="shared" si="16"/>
        <v>198724</v>
      </c>
      <c r="F128" s="485">
        <f t="shared" si="17"/>
        <v>2394019</v>
      </c>
      <c r="G128" s="485">
        <f t="shared" si="18"/>
        <v>2493381</v>
      </c>
      <c r="H128" s="486">
        <f t="shared" si="19"/>
        <v>482452.78808158427</v>
      </c>
      <c r="I128" s="542">
        <f t="shared" si="20"/>
        <v>482452.78808158427</v>
      </c>
      <c r="J128" s="478">
        <f t="shared" si="14"/>
        <v>0</v>
      </c>
      <c r="K128" s="478"/>
      <c r="L128" s="487"/>
      <c r="M128" s="478">
        <f t="shared" si="21"/>
        <v>0</v>
      </c>
      <c r="N128" s="487"/>
      <c r="O128" s="478">
        <f t="shared" si="12"/>
        <v>0</v>
      </c>
      <c r="P128" s="478">
        <f t="shared" si="13"/>
        <v>0</v>
      </c>
    </row>
    <row r="129" spans="2:16">
      <c r="B129" s="160" t="str">
        <f t="shared" si="15"/>
        <v/>
      </c>
      <c r="C129" s="472">
        <f>IF(D93="","-",+C128+1)</f>
        <v>2049</v>
      </c>
      <c r="D129" s="347">
        <f>IF(F128+SUM(E$99:E128)=D$92,F128,D$92-SUM(E$99:E128))</f>
        <v>2394019</v>
      </c>
      <c r="E129" s="484">
        <f t="shared" si="16"/>
        <v>198724</v>
      </c>
      <c r="F129" s="485">
        <f t="shared" si="17"/>
        <v>2195295</v>
      </c>
      <c r="G129" s="485">
        <f t="shared" si="18"/>
        <v>2294657</v>
      </c>
      <c r="H129" s="486">
        <f t="shared" si="19"/>
        <v>459839.42907919968</v>
      </c>
      <c r="I129" s="542">
        <f t="shared" si="20"/>
        <v>459839.42907919968</v>
      </c>
      <c r="J129" s="478">
        <f t="shared" si="14"/>
        <v>0</v>
      </c>
      <c r="K129" s="478"/>
      <c r="L129" s="487"/>
      <c r="M129" s="478">
        <f t="shared" si="21"/>
        <v>0</v>
      </c>
      <c r="N129" s="487"/>
      <c r="O129" s="478">
        <f t="shared" si="12"/>
        <v>0</v>
      </c>
      <c r="P129" s="478">
        <f t="shared" si="13"/>
        <v>0</v>
      </c>
    </row>
    <row r="130" spans="2:16">
      <c r="B130" s="160" t="str">
        <f t="shared" si="15"/>
        <v/>
      </c>
      <c r="C130" s="472">
        <f>IF(D93="","-",+C129+1)</f>
        <v>2050</v>
      </c>
      <c r="D130" s="347">
        <f>IF(F129+SUM(E$99:E129)=D$92,F129,D$92-SUM(E$99:E129))</f>
        <v>2195295</v>
      </c>
      <c r="E130" s="484">
        <f t="shared" si="16"/>
        <v>198724</v>
      </c>
      <c r="F130" s="485">
        <f t="shared" si="17"/>
        <v>1996571</v>
      </c>
      <c r="G130" s="485">
        <f t="shared" si="18"/>
        <v>2095933</v>
      </c>
      <c r="H130" s="486">
        <f t="shared" si="19"/>
        <v>437226.07007681503</v>
      </c>
      <c r="I130" s="542">
        <f t="shared" si="20"/>
        <v>437226.07007681503</v>
      </c>
      <c r="J130" s="478">
        <f t="shared" si="14"/>
        <v>0</v>
      </c>
      <c r="K130" s="478"/>
      <c r="L130" s="487"/>
      <c r="M130" s="478">
        <f t="shared" si="21"/>
        <v>0</v>
      </c>
      <c r="N130" s="487"/>
      <c r="O130" s="478">
        <f t="shared" si="12"/>
        <v>0</v>
      </c>
      <c r="P130" s="478">
        <f t="shared" si="13"/>
        <v>0</v>
      </c>
    </row>
    <row r="131" spans="2:16">
      <c r="B131" s="160" t="str">
        <f t="shared" si="15"/>
        <v/>
      </c>
      <c r="C131" s="472">
        <f>IF(D93="","-",+C130+1)</f>
        <v>2051</v>
      </c>
      <c r="D131" s="347">
        <f>IF(F130+SUM(E$99:E130)=D$92,F130,D$92-SUM(E$99:E130))</f>
        <v>1996571</v>
      </c>
      <c r="E131" s="484">
        <f t="shared" si="16"/>
        <v>198724</v>
      </c>
      <c r="F131" s="485">
        <f t="shared" si="17"/>
        <v>1797847</v>
      </c>
      <c r="G131" s="485">
        <f t="shared" si="18"/>
        <v>1897209</v>
      </c>
      <c r="H131" s="486">
        <f t="shared" si="19"/>
        <v>414612.71107443038</v>
      </c>
      <c r="I131" s="542">
        <f t="shared" si="20"/>
        <v>414612.71107443038</v>
      </c>
      <c r="J131" s="478">
        <f t="shared" ref="J131:J154" si="22">+I541-H541</f>
        <v>0</v>
      </c>
      <c r="K131" s="478"/>
      <c r="L131" s="487"/>
      <c r="M131" s="478">
        <f t="shared" ref="M131:M154" si="23">IF(L541&lt;&gt;0,+H541-L541,0)</f>
        <v>0</v>
      </c>
      <c r="N131" s="487"/>
      <c r="O131" s="478">
        <f t="shared" ref="O131:O154" si="24">IF(N541&lt;&gt;0,+I541-N541,0)</f>
        <v>0</v>
      </c>
      <c r="P131" s="478">
        <f t="shared" ref="P131:P154" si="25">+O541-M541</f>
        <v>0</v>
      </c>
    </row>
    <row r="132" spans="2:16">
      <c r="B132" s="160" t="str">
        <f t="shared" si="15"/>
        <v/>
      </c>
      <c r="C132" s="472">
        <f>IF(D93="","-",+C131+1)</f>
        <v>2052</v>
      </c>
      <c r="D132" s="347">
        <f>IF(F131+SUM(E$99:E131)=D$92,F131,D$92-SUM(E$99:E131))</f>
        <v>1797847</v>
      </c>
      <c r="E132" s="484">
        <f t="shared" si="16"/>
        <v>198724</v>
      </c>
      <c r="F132" s="485">
        <f t="shared" si="17"/>
        <v>1599123</v>
      </c>
      <c r="G132" s="485">
        <f t="shared" si="18"/>
        <v>1698485</v>
      </c>
      <c r="H132" s="486">
        <f t="shared" si="19"/>
        <v>391999.35207204579</v>
      </c>
      <c r="I132" s="542">
        <f t="shared" si="20"/>
        <v>391999.35207204579</v>
      </c>
      <c r="J132" s="478">
        <f t="shared" si="22"/>
        <v>0</v>
      </c>
      <c r="K132" s="478"/>
      <c r="L132" s="487"/>
      <c r="M132" s="478">
        <f t="shared" si="23"/>
        <v>0</v>
      </c>
      <c r="N132" s="487"/>
      <c r="O132" s="478">
        <f t="shared" si="24"/>
        <v>0</v>
      </c>
      <c r="P132" s="478">
        <f t="shared" si="25"/>
        <v>0</v>
      </c>
    </row>
    <row r="133" spans="2:16">
      <c r="B133" s="160" t="str">
        <f t="shared" si="15"/>
        <v/>
      </c>
      <c r="C133" s="472">
        <f>IF(D93="","-",+C132+1)</f>
        <v>2053</v>
      </c>
      <c r="D133" s="347">
        <f>IF(F132+SUM(E$99:E132)=D$92,F132,D$92-SUM(E$99:E132))</f>
        <v>1599123</v>
      </c>
      <c r="E133" s="484">
        <f t="shared" si="16"/>
        <v>198724</v>
      </c>
      <c r="F133" s="485">
        <f t="shared" si="17"/>
        <v>1400399</v>
      </c>
      <c r="G133" s="485">
        <f t="shared" si="18"/>
        <v>1499761</v>
      </c>
      <c r="H133" s="486">
        <f t="shared" si="19"/>
        <v>369385.9930696612</v>
      </c>
      <c r="I133" s="542">
        <f t="shared" si="20"/>
        <v>369385.9930696612</v>
      </c>
      <c r="J133" s="478">
        <f t="shared" si="22"/>
        <v>0</v>
      </c>
      <c r="K133" s="478"/>
      <c r="L133" s="487"/>
      <c r="M133" s="478">
        <f t="shared" si="23"/>
        <v>0</v>
      </c>
      <c r="N133" s="487"/>
      <c r="O133" s="478">
        <f t="shared" si="24"/>
        <v>0</v>
      </c>
      <c r="P133" s="478">
        <f t="shared" si="25"/>
        <v>0</v>
      </c>
    </row>
    <row r="134" spans="2:16">
      <c r="B134" s="160" t="str">
        <f t="shared" si="15"/>
        <v/>
      </c>
      <c r="C134" s="472">
        <f>IF(D93="","-",+C133+1)</f>
        <v>2054</v>
      </c>
      <c r="D134" s="347">
        <f>IF(F133+SUM(E$99:E133)=D$92,F133,D$92-SUM(E$99:E133))</f>
        <v>1400399</v>
      </c>
      <c r="E134" s="484">
        <f t="shared" si="16"/>
        <v>198724</v>
      </c>
      <c r="F134" s="485">
        <f t="shared" si="17"/>
        <v>1201675</v>
      </c>
      <c r="G134" s="485">
        <f t="shared" si="18"/>
        <v>1301037</v>
      </c>
      <c r="H134" s="486">
        <f t="shared" si="19"/>
        <v>346772.63406727661</v>
      </c>
      <c r="I134" s="542">
        <f t="shared" si="20"/>
        <v>346772.63406727661</v>
      </c>
      <c r="J134" s="478">
        <f t="shared" si="22"/>
        <v>0</v>
      </c>
      <c r="K134" s="478"/>
      <c r="L134" s="487"/>
      <c r="M134" s="478">
        <f t="shared" si="23"/>
        <v>0</v>
      </c>
      <c r="N134" s="487"/>
      <c r="O134" s="478">
        <f t="shared" si="24"/>
        <v>0</v>
      </c>
      <c r="P134" s="478">
        <f t="shared" si="25"/>
        <v>0</v>
      </c>
    </row>
    <row r="135" spans="2:16">
      <c r="B135" s="160" t="str">
        <f t="shared" si="15"/>
        <v/>
      </c>
      <c r="C135" s="472">
        <f>IF(D93="","-",+C134+1)</f>
        <v>2055</v>
      </c>
      <c r="D135" s="347">
        <f>IF(F134+SUM(E$99:E134)=D$92,F134,D$92-SUM(E$99:E134))</f>
        <v>1201675</v>
      </c>
      <c r="E135" s="484">
        <f t="shared" si="16"/>
        <v>198724</v>
      </c>
      <c r="F135" s="485">
        <f t="shared" si="17"/>
        <v>1002951</v>
      </c>
      <c r="G135" s="485">
        <f t="shared" si="18"/>
        <v>1102313</v>
      </c>
      <c r="H135" s="486">
        <f t="shared" si="19"/>
        <v>324159.27506489196</v>
      </c>
      <c r="I135" s="542">
        <f t="shared" si="20"/>
        <v>324159.27506489196</v>
      </c>
      <c r="J135" s="478">
        <f t="shared" si="22"/>
        <v>0</v>
      </c>
      <c r="K135" s="478"/>
      <c r="L135" s="487"/>
      <c r="M135" s="478">
        <f t="shared" si="23"/>
        <v>0</v>
      </c>
      <c r="N135" s="487"/>
      <c r="O135" s="478">
        <f t="shared" si="24"/>
        <v>0</v>
      </c>
      <c r="P135" s="478">
        <f t="shared" si="25"/>
        <v>0</v>
      </c>
    </row>
    <row r="136" spans="2:16">
      <c r="B136" s="160" t="str">
        <f t="shared" si="15"/>
        <v/>
      </c>
      <c r="C136" s="472">
        <f>IF(D93="","-",+C135+1)</f>
        <v>2056</v>
      </c>
      <c r="D136" s="347">
        <f>IF(F135+SUM(E$99:E135)=D$92,F135,D$92-SUM(E$99:E135))</f>
        <v>1002951</v>
      </c>
      <c r="E136" s="484">
        <f t="shared" si="16"/>
        <v>198724</v>
      </c>
      <c r="F136" s="485">
        <f t="shared" si="17"/>
        <v>804227</v>
      </c>
      <c r="G136" s="485">
        <f t="shared" si="18"/>
        <v>903589</v>
      </c>
      <c r="H136" s="486">
        <f t="shared" si="19"/>
        <v>301545.91606250737</v>
      </c>
      <c r="I136" s="542">
        <f t="shared" si="20"/>
        <v>301545.91606250737</v>
      </c>
      <c r="J136" s="478">
        <f t="shared" si="22"/>
        <v>0</v>
      </c>
      <c r="K136" s="478"/>
      <c r="L136" s="487"/>
      <c r="M136" s="478">
        <f t="shared" si="23"/>
        <v>0</v>
      </c>
      <c r="N136" s="487"/>
      <c r="O136" s="478">
        <f t="shared" si="24"/>
        <v>0</v>
      </c>
      <c r="P136" s="478">
        <f t="shared" si="25"/>
        <v>0</v>
      </c>
    </row>
    <row r="137" spans="2:16">
      <c r="B137" s="160" t="str">
        <f t="shared" si="15"/>
        <v/>
      </c>
      <c r="C137" s="472">
        <f>IF(D93="","-",+C136+1)</f>
        <v>2057</v>
      </c>
      <c r="D137" s="347">
        <f>IF(F136+SUM(E$99:E136)=D$92,F136,D$92-SUM(E$99:E136))</f>
        <v>804227</v>
      </c>
      <c r="E137" s="484">
        <f t="shared" si="16"/>
        <v>198724</v>
      </c>
      <c r="F137" s="485">
        <f t="shared" si="17"/>
        <v>605503</v>
      </c>
      <c r="G137" s="485">
        <f t="shared" si="18"/>
        <v>704865</v>
      </c>
      <c r="H137" s="486">
        <f t="shared" si="19"/>
        <v>278932.55706012272</v>
      </c>
      <c r="I137" s="542">
        <f t="shared" si="20"/>
        <v>278932.55706012272</v>
      </c>
      <c r="J137" s="478">
        <f t="shared" si="22"/>
        <v>0</v>
      </c>
      <c r="K137" s="478"/>
      <c r="L137" s="487"/>
      <c r="M137" s="478">
        <f t="shared" si="23"/>
        <v>0</v>
      </c>
      <c r="N137" s="487"/>
      <c r="O137" s="478">
        <f t="shared" si="24"/>
        <v>0</v>
      </c>
      <c r="P137" s="478">
        <f t="shared" si="25"/>
        <v>0</v>
      </c>
    </row>
    <row r="138" spans="2:16">
      <c r="B138" s="160" t="str">
        <f t="shared" si="15"/>
        <v/>
      </c>
      <c r="C138" s="472">
        <f>IF(D93="","-",+C137+1)</f>
        <v>2058</v>
      </c>
      <c r="D138" s="347">
        <f>IF(F137+SUM(E$99:E137)=D$92,F137,D$92-SUM(E$99:E137))</f>
        <v>605503</v>
      </c>
      <c r="E138" s="484">
        <f t="shared" si="16"/>
        <v>198724</v>
      </c>
      <c r="F138" s="485">
        <f t="shared" si="17"/>
        <v>406779</v>
      </c>
      <c r="G138" s="485">
        <f t="shared" si="18"/>
        <v>506141</v>
      </c>
      <c r="H138" s="486">
        <f t="shared" si="19"/>
        <v>256319.19805773813</v>
      </c>
      <c r="I138" s="542">
        <f t="shared" si="20"/>
        <v>256319.19805773813</v>
      </c>
      <c r="J138" s="478">
        <f t="shared" si="22"/>
        <v>0</v>
      </c>
      <c r="K138" s="478"/>
      <c r="L138" s="487"/>
      <c r="M138" s="478">
        <f t="shared" si="23"/>
        <v>0</v>
      </c>
      <c r="N138" s="487"/>
      <c r="O138" s="478">
        <f t="shared" si="24"/>
        <v>0</v>
      </c>
      <c r="P138" s="478">
        <f t="shared" si="25"/>
        <v>0</v>
      </c>
    </row>
    <row r="139" spans="2:16">
      <c r="B139" s="160" t="str">
        <f t="shared" si="15"/>
        <v/>
      </c>
      <c r="C139" s="472">
        <f>IF(D93="","-",+C138+1)</f>
        <v>2059</v>
      </c>
      <c r="D139" s="347">
        <f>IF(F138+SUM(E$99:E138)=D$92,F138,D$92-SUM(E$99:E138))</f>
        <v>406779</v>
      </c>
      <c r="E139" s="484">
        <f t="shared" si="16"/>
        <v>198724</v>
      </c>
      <c r="F139" s="485">
        <f t="shared" si="17"/>
        <v>208055</v>
      </c>
      <c r="G139" s="485">
        <f t="shared" si="18"/>
        <v>307417</v>
      </c>
      <c r="H139" s="486">
        <f t="shared" si="19"/>
        <v>233705.83905535351</v>
      </c>
      <c r="I139" s="542">
        <f t="shared" si="20"/>
        <v>233705.83905535351</v>
      </c>
      <c r="J139" s="478">
        <f t="shared" si="22"/>
        <v>0</v>
      </c>
      <c r="K139" s="478"/>
      <c r="L139" s="487"/>
      <c r="M139" s="478">
        <f t="shared" si="23"/>
        <v>0</v>
      </c>
      <c r="N139" s="487"/>
      <c r="O139" s="478">
        <f t="shared" si="24"/>
        <v>0</v>
      </c>
      <c r="P139" s="478">
        <f t="shared" si="25"/>
        <v>0</v>
      </c>
    </row>
    <row r="140" spans="2:16">
      <c r="B140" s="160" t="str">
        <f t="shared" si="15"/>
        <v/>
      </c>
      <c r="C140" s="472">
        <f>IF(D93="","-",+C139+1)</f>
        <v>2060</v>
      </c>
      <c r="D140" s="347">
        <f>IF(F139+SUM(E$99:E139)=D$92,F139,D$92-SUM(E$99:E139))</f>
        <v>208055</v>
      </c>
      <c r="E140" s="484">
        <f t="shared" si="16"/>
        <v>198724</v>
      </c>
      <c r="F140" s="485">
        <f t="shared" si="17"/>
        <v>9331</v>
      </c>
      <c r="G140" s="485">
        <f t="shared" si="18"/>
        <v>108693</v>
      </c>
      <c r="H140" s="486">
        <f t="shared" si="19"/>
        <v>211092.48005296889</v>
      </c>
      <c r="I140" s="542">
        <f t="shared" si="20"/>
        <v>211092.48005296889</v>
      </c>
      <c r="J140" s="478">
        <f t="shared" si="22"/>
        <v>0</v>
      </c>
      <c r="K140" s="478"/>
      <c r="L140" s="487"/>
      <c r="M140" s="478">
        <f t="shared" si="23"/>
        <v>0</v>
      </c>
      <c r="N140" s="487"/>
      <c r="O140" s="478">
        <f t="shared" si="24"/>
        <v>0</v>
      </c>
      <c r="P140" s="478">
        <f t="shared" si="25"/>
        <v>0</v>
      </c>
    </row>
    <row r="141" spans="2:16">
      <c r="B141" s="160" t="str">
        <f t="shared" si="15"/>
        <v/>
      </c>
      <c r="C141" s="472">
        <f>IF(D93="","-",+C140+1)</f>
        <v>2061</v>
      </c>
      <c r="D141" s="347">
        <f>IF(F140+SUM(E$99:E140)=D$92,F140,D$92-SUM(E$99:E140))</f>
        <v>9331</v>
      </c>
      <c r="E141" s="484">
        <f t="shared" si="16"/>
        <v>9331</v>
      </c>
      <c r="F141" s="485">
        <f t="shared" si="17"/>
        <v>0</v>
      </c>
      <c r="G141" s="485">
        <f t="shared" si="18"/>
        <v>4665.5</v>
      </c>
      <c r="H141" s="486">
        <f t="shared" si="19"/>
        <v>9861.9002758882943</v>
      </c>
      <c r="I141" s="542">
        <f t="shared" si="20"/>
        <v>9861.9002758882943</v>
      </c>
      <c r="J141" s="478">
        <f t="shared" si="22"/>
        <v>0</v>
      </c>
      <c r="K141" s="478"/>
      <c r="L141" s="487"/>
      <c r="M141" s="478">
        <f t="shared" si="23"/>
        <v>0</v>
      </c>
      <c r="N141" s="487"/>
      <c r="O141" s="478">
        <f t="shared" si="24"/>
        <v>0</v>
      </c>
      <c r="P141" s="478">
        <f t="shared" si="25"/>
        <v>0</v>
      </c>
    </row>
    <row r="142" spans="2:16">
      <c r="B142" s="160" t="str">
        <f t="shared" si="15"/>
        <v/>
      </c>
      <c r="C142" s="472">
        <f>IF(D93="","-",+C141+1)</f>
        <v>2062</v>
      </c>
      <c r="D142" s="347">
        <f>IF(F141+SUM(E$99:E141)=D$92,F141,D$92-SUM(E$99:E141))</f>
        <v>0</v>
      </c>
      <c r="E142" s="484">
        <f t="shared" si="16"/>
        <v>0</v>
      </c>
      <c r="F142" s="485">
        <f t="shared" si="17"/>
        <v>0</v>
      </c>
      <c r="G142" s="485">
        <f t="shared" si="18"/>
        <v>0</v>
      </c>
      <c r="H142" s="486">
        <f t="shared" si="19"/>
        <v>0</v>
      </c>
      <c r="I142" s="542">
        <f t="shared" si="20"/>
        <v>0</v>
      </c>
      <c r="J142" s="478">
        <f t="shared" si="22"/>
        <v>0</v>
      </c>
      <c r="K142" s="478"/>
      <c r="L142" s="487"/>
      <c r="M142" s="478">
        <f t="shared" si="23"/>
        <v>0</v>
      </c>
      <c r="N142" s="487"/>
      <c r="O142" s="478">
        <f t="shared" si="24"/>
        <v>0</v>
      </c>
      <c r="P142" s="478">
        <f t="shared" si="25"/>
        <v>0</v>
      </c>
    </row>
    <row r="143" spans="2:16">
      <c r="B143" s="160" t="str">
        <f t="shared" si="15"/>
        <v/>
      </c>
      <c r="C143" s="472">
        <f>IF(D93="","-",+C142+1)</f>
        <v>2063</v>
      </c>
      <c r="D143" s="347">
        <f>IF(F142+SUM(E$99:E142)=D$92,F142,D$92-SUM(E$99:E142))</f>
        <v>0</v>
      </c>
      <c r="E143" s="484">
        <f t="shared" si="16"/>
        <v>0</v>
      </c>
      <c r="F143" s="485">
        <f t="shared" si="17"/>
        <v>0</v>
      </c>
      <c r="G143" s="485">
        <f t="shared" si="18"/>
        <v>0</v>
      </c>
      <c r="H143" s="486">
        <f t="shared" si="19"/>
        <v>0</v>
      </c>
      <c r="I143" s="542">
        <f t="shared" si="20"/>
        <v>0</v>
      </c>
      <c r="J143" s="478">
        <f t="shared" si="22"/>
        <v>0</v>
      </c>
      <c r="K143" s="478"/>
      <c r="L143" s="487"/>
      <c r="M143" s="478">
        <f t="shared" si="23"/>
        <v>0</v>
      </c>
      <c r="N143" s="487"/>
      <c r="O143" s="478">
        <f t="shared" si="24"/>
        <v>0</v>
      </c>
      <c r="P143" s="478">
        <f t="shared" si="25"/>
        <v>0</v>
      </c>
    </row>
    <row r="144" spans="2:16">
      <c r="B144" s="160" t="str">
        <f t="shared" si="15"/>
        <v/>
      </c>
      <c r="C144" s="472">
        <f>IF(D93="","-",+C143+1)</f>
        <v>2064</v>
      </c>
      <c r="D144" s="347">
        <f>IF(F143+SUM(E$99:E143)=D$92,F143,D$92-SUM(E$99:E143))</f>
        <v>0</v>
      </c>
      <c r="E144" s="484">
        <f t="shared" si="16"/>
        <v>0</v>
      </c>
      <c r="F144" s="485">
        <f t="shared" si="17"/>
        <v>0</v>
      </c>
      <c r="G144" s="485">
        <f t="shared" si="18"/>
        <v>0</v>
      </c>
      <c r="H144" s="486">
        <f t="shared" si="19"/>
        <v>0</v>
      </c>
      <c r="I144" s="542">
        <f t="shared" si="20"/>
        <v>0</v>
      </c>
      <c r="J144" s="478">
        <f t="shared" si="22"/>
        <v>0</v>
      </c>
      <c r="K144" s="478"/>
      <c r="L144" s="487"/>
      <c r="M144" s="478">
        <f t="shared" si="23"/>
        <v>0</v>
      </c>
      <c r="N144" s="487"/>
      <c r="O144" s="478">
        <f t="shared" si="24"/>
        <v>0</v>
      </c>
      <c r="P144" s="478">
        <f t="shared" si="25"/>
        <v>0</v>
      </c>
    </row>
    <row r="145" spans="2:16">
      <c r="B145" s="160" t="str">
        <f t="shared" si="15"/>
        <v/>
      </c>
      <c r="C145" s="472">
        <f>IF(D93="","-",+C144+1)</f>
        <v>2065</v>
      </c>
      <c r="D145" s="347">
        <f>IF(F144+SUM(E$99:E144)=D$92,F144,D$92-SUM(E$99:E144))</f>
        <v>0</v>
      </c>
      <c r="E145" s="484">
        <f t="shared" si="16"/>
        <v>0</v>
      </c>
      <c r="F145" s="485">
        <f t="shared" si="17"/>
        <v>0</v>
      </c>
      <c r="G145" s="485">
        <f t="shared" si="18"/>
        <v>0</v>
      </c>
      <c r="H145" s="486">
        <f t="shared" si="19"/>
        <v>0</v>
      </c>
      <c r="I145" s="542">
        <f t="shared" si="20"/>
        <v>0</v>
      </c>
      <c r="J145" s="478">
        <f t="shared" si="22"/>
        <v>0</v>
      </c>
      <c r="K145" s="478"/>
      <c r="L145" s="487"/>
      <c r="M145" s="478">
        <f t="shared" si="23"/>
        <v>0</v>
      </c>
      <c r="N145" s="487"/>
      <c r="O145" s="478">
        <f t="shared" si="24"/>
        <v>0</v>
      </c>
      <c r="P145" s="478">
        <f t="shared" si="25"/>
        <v>0</v>
      </c>
    </row>
    <row r="146" spans="2:16">
      <c r="B146" s="160" t="str">
        <f t="shared" si="15"/>
        <v/>
      </c>
      <c r="C146" s="472">
        <f>IF(D93="","-",+C145+1)</f>
        <v>2066</v>
      </c>
      <c r="D146" s="347">
        <f>IF(F145+SUM(E$99:E145)=D$92,F145,D$92-SUM(E$99:E145))</f>
        <v>0</v>
      </c>
      <c r="E146" s="484">
        <f t="shared" si="16"/>
        <v>0</v>
      </c>
      <c r="F146" s="485">
        <f t="shared" si="17"/>
        <v>0</v>
      </c>
      <c r="G146" s="485">
        <f t="shared" si="18"/>
        <v>0</v>
      </c>
      <c r="H146" s="486">
        <f t="shared" si="19"/>
        <v>0</v>
      </c>
      <c r="I146" s="542">
        <f t="shared" si="20"/>
        <v>0</v>
      </c>
      <c r="J146" s="478">
        <f t="shared" si="22"/>
        <v>0</v>
      </c>
      <c r="K146" s="478"/>
      <c r="L146" s="487"/>
      <c r="M146" s="478">
        <f t="shared" si="23"/>
        <v>0</v>
      </c>
      <c r="N146" s="487"/>
      <c r="O146" s="478">
        <f t="shared" si="24"/>
        <v>0</v>
      </c>
      <c r="P146" s="478">
        <f t="shared" si="25"/>
        <v>0</v>
      </c>
    </row>
    <row r="147" spans="2:16">
      <c r="B147" s="160" t="str">
        <f t="shared" si="15"/>
        <v/>
      </c>
      <c r="C147" s="472">
        <f>IF(D93="","-",+C146+1)</f>
        <v>2067</v>
      </c>
      <c r="D147" s="347">
        <f>IF(F146+SUM(E$99:E146)=D$92,F146,D$92-SUM(E$99:E146))</f>
        <v>0</v>
      </c>
      <c r="E147" s="484">
        <f t="shared" si="16"/>
        <v>0</v>
      </c>
      <c r="F147" s="485">
        <f t="shared" si="17"/>
        <v>0</v>
      </c>
      <c r="G147" s="485">
        <f t="shared" si="18"/>
        <v>0</v>
      </c>
      <c r="H147" s="486">
        <f t="shared" si="19"/>
        <v>0</v>
      </c>
      <c r="I147" s="542">
        <f t="shared" si="20"/>
        <v>0</v>
      </c>
      <c r="J147" s="478">
        <f t="shared" si="22"/>
        <v>0</v>
      </c>
      <c r="K147" s="478"/>
      <c r="L147" s="487"/>
      <c r="M147" s="478">
        <f t="shared" si="23"/>
        <v>0</v>
      </c>
      <c r="N147" s="487"/>
      <c r="O147" s="478">
        <f t="shared" si="24"/>
        <v>0</v>
      </c>
      <c r="P147" s="478">
        <f t="shared" si="25"/>
        <v>0</v>
      </c>
    </row>
    <row r="148" spans="2:16">
      <c r="B148" s="160" t="str">
        <f t="shared" si="15"/>
        <v/>
      </c>
      <c r="C148" s="472">
        <f>IF(D93="","-",+C147+1)</f>
        <v>2068</v>
      </c>
      <c r="D148" s="347">
        <f>IF(F147+SUM(E$99:E147)=D$92,F147,D$92-SUM(E$99:E147))</f>
        <v>0</v>
      </c>
      <c r="E148" s="484">
        <f t="shared" si="16"/>
        <v>0</v>
      </c>
      <c r="F148" s="485">
        <f t="shared" si="17"/>
        <v>0</v>
      </c>
      <c r="G148" s="485">
        <f t="shared" si="18"/>
        <v>0</v>
      </c>
      <c r="H148" s="486">
        <f t="shared" si="19"/>
        <v>0</v>
      </c>
      <c r="I148" s="542">
        <f t="shared" si="20"/>
        <v>0</v>
      </c>
      <c r="J148" s="478">
        <f t="shared" si="22"/>
        <v>0</v>
      </c>
      <c r="K148" s="478"/>
      <c r="L148" s="487"/>
      <c r="M148" s="478">
        <f t="shared" si="23"/>
        <v>0</v>
      </c>
      <c r="N148" s="487"/>
      <c r="O148" s="478">
        <f t="shared" si="24"/>
        <v>0</v>
      </c>
      <c r="P148" s="478">
        <f t="shared" si="25"/>
        <v>0</v>
      </c>
    </row>
    <row r="149" spans="2:16">
      <c r="B149" s="160" t="str">
        <f t="shared" si="15"/>
        <v/>
      </c>
      <c r="C149" s="472">
        <f>IF(D93="","-",+C148+1)</f>
        <v>2069</v>
      </c>
      <c r="D149" s="347">
        <f>IF(F148+SUM(E$99:E148)=D$92,F148,D$92-SUM(E$99:E148))</f>
        <v>0</v>
      </c>
      <c r="E149" s="484">
        <f t="shared" si="16"/>
        <v>0</v>
      </c>
      <c r="F149" s="485">
        <f t="shared" si="17"/>
        <v>0</v>
      </c>
      <c r="G149" s="485">
        <f t="shared" si="18"/>
        <v>0</v>
      </c>
      <c r="H149" s="486">
        <f t="shared" si="19"/>
        <v>0</v>
      </c>
      <c r="I149" s="542">
        <f t="shared" si="20"/>
        <v>0</v>
      </c>
      <c r="J149" s="478">
        <f t="shared" si="22"/>
        <v>0</v>
      </c>
      <c r="K149" s="478"/>
      <c r="L149" s="487"/>
      <c r="M149" s="478">
        <f t="shared" si="23"/>
        <v>0</v>
      </c>
      <c r="N149" s="487"/>
      <c r="O149" s="478">
        <f t="shared" si="24"/>
        <v>0</v>
      </c>
      <c r="P149" s="478">
        <f t="shared" si="25"/>
        <v>0</v>
      </c>
    </row>
    <row r="150" spans="2:16">
      <c r="B150" s="160" t="str">
        <f t="shared" si="15"/>
        <v/>
      </c>
      <c r="C150" s="472">
        <f>IF(D93="","-",+C149+1)</f>
        <v>2070</v>
      </c>
      <c r="D150" s="347">
        <f>IF(F149+SUM(E$99:E149)=D$92,F149,D$92-SUM(E$99:E149))</f>
        <v>0</v>
      </c>
      <c r="E150" s="484">
        <f t="shared" si="16"/>
        <v>0</v>
      </c>
      <c r="F150" s="485">
        <f t="shared" si="17"/>
        <v>0</v>
      </c>
      <c r="G150" s="485">
        <f t="shared" si="18"/>
        <v>0</v>
      </c>
      <c r="H150" s="486">
        <f t="shared" si="19"/>
        <v>0</v>
      </c>
      <c r="I150" s="542">
        <f t="shared" si="20"/>
        <v>0</v>
      </c>
      <c r="J150" s="478">
        <f t="shared" si="22"/>
        <v>0</v>
      </c>
      <c r="K150" s="478"/>
      <c r="L150" s="487"/>
      <c r="M150" s="478">
        <f t="shared" si="23"/>
        <v>0</v>
      </c>
      <c r="N150" s="487"/>
      <c r="O150" s="478">
        <f t="shared" si="24"/>
        <v>0</v>
      </c>
      <c r="P150" s="478">
        <f t="shared" si="25"/>
        <v>0</v>
      </c>
    </row>
    <row r="151" spans="2:16">
      <c r="B151" s="160" t="str">
        <f t="shared" si="15"/>
        <v/>
      </c>
      <c r="C151" s="472">
        <f>IF(D93="","-",+C150+1)</f>
        <v>2071</v>
      </c>
      <c r="D151" s="347">
        <f>IF(F150+SUM(E$99:E150)=D$92,F150,D$92-SUM(E$99:E150))</f>
        <v>0</v>
      </c>
      <c r="E151" s="484">
        <f t="shared" si="16"/>
        <v>0</v>
      </c>
      <c r="F151" s="485">
        <f t="shared" si="17"/>
        <v>0</v>
      </c>
      <c r="G151" s="485">
        <f t="shared" si="18"/>
        <v>0</v>
      </c>
      <c r="H151" s="486">
        <f t="shared" si="19"/>
        <v>0</v>
      </c>
      <c r="I151" s="542">
        <f t="shared" si="20"/>
        <v>0</v>
      </c>
      <c r="J151" s="478">
        <f t="shared" si="22"/>
        <v>0</v>
      </c>
      <c r="K151" s="478"/>
      <c r="L151" s="487"/>
      <c r="M151" s="478">
        <f t="shared" si="23"/>
        <v>0</v>
      </c>
      <c r="N151" s="487"/>
      <c r="O151" s="478">
        <f t="shared" si="24"/>
        <v>0</v>
      </c>
      <c r="P151" s="478">
        <f t="shared" si="25"/>
        <v>0</v>
      </c>
    </row>
    <row r="152" spans="2:16">
      <c r="B152" s="160" t="str">
        <f t="shared" si="15"/>
        <v/>
      </c>
      <c r="C152" s="472">
        <f>IF(D93="","-",+C151+1)</f>
        <v>2072</v>
      </c>
      <c r="D152" s="347">
        <f>IF(F151+SUM(E$99:E151)=D$92,F151,D$92-SUM(E$99:E151))</f>
        <v>0</v>
      </c>
      <c r="E152" s="484">
        <f t="shared" si="16"/>
        <v>0</v>
      </c>
      <c r="F152" s="485">
        <f t="shared" si="17"/>
        <v>0</v>
      </c>
      <c r="G152" s="485">
        <f t="shared" si="18"/>
        <v>0</v>
      </c>
      <c r="H152" s="486">
        <f t="shared" si="19"/>
        <v>0</v>
      </c>
      <c r="I152" s="542">
        <f t="shared" si="20"/>
        <v>0</v>
      </c>
      <c r="J152" s="478">
        <f t="shared" si="22"/>
        <v>0</v>
      </c>
      <c r="K152" s="478"/>
      <c r="L152" s="487"/>
      <c r="M152" s="478">
        <f t="shared" si="23"/>
        <v>0</v>
      </c>
      <c r="N152" s="487"/>
      <c r="O152" s="478">
        <f t="shared" si="24"/>
        <v>0</v>
      </c>
      <c r="P152" s="478">
        <f t="shared" si="25"/>
        <v>0</v>
      </c>
    </row>
    <row r="153" spans="2:16">
      <c r="B153" s="160" t="str">
        <f t="shared" si="15"/>
        <v/>
      </c>
      <c r="C153" s="472">
        <f>IF(D93="","-",+C152+1)</f>
        <v>2073</v>
      </c>
      <c r="D153" s="347">
        <f>IF(F152+SUM(E$99:E152)=D$92,F152,D$92-SUM(E$99:E152))</f>
        <v>0</v>
      </c>
      <c r="E153" s="484">
        <f t="shared" si="16"/>
        <v>0</v>
      </c>
      <c r="F153" s="485">
        <f t="shared" si="17"/>
        <v>0</v>
      </c>
      <c r="G153" s="485">
        <f t="shared" si="18"/>
        <v>0</v>
      </c>
      <c r="H153" s="486">
        <f t="shared" si="19"/>
        <v>0</v>
      </c>
      <c r="I153" s="542">
        <f t="shared" si="20"/>
        <v>0</v>
      </c>
      <c r="J153" s="478">
        <f t="shared" si="22"/>
        <v>0</v>
      </c>
      <c r="K153" s="478"/>
      <c r="L153" s="487"/>
      <c r="M153" s="478">
        <f t="shared" si="23"/>
        <v>0</v>
      </c>
      <c r="N153" s="487"/>
      <c r="O153" s="478">
        <f t="shared" si="24"/>
        <v>0</v>
      </c>
      <c r="P153" s="478">
        <f t="shared" si="25"/>
        <v>0</v>
      </c>
    </row>
    <row r="154" spans="2:16" ht="13.5" thickBot="1">
      <c r="B154" s="160" t="str">
        <f t="shared" si="15"/>
        <v/>
      </c>
      <c r="C154" s="489">
        <f>IF(D93="","-",+C153+1)</f>
        <v>2074</v>
      </c>
      <c r="D154" s="543">
        <f>IF(F153+SUM(E$99:E153)=D$92,F153,D$92-SUM(E$99:E153))</f>
        <v>0</v>
      </c>
      <c r="E154" s="491">
        <f t="shared" si="16"/>
        <v>0</v>
      </c>
      <c r="F154" s="490">
        <f t="shared" si="17"/>
        <v>0</v>
      </c>
      <c r="G154" s="490">
        <f t="shared" si="18"/>
        <v>0</v>
      </c>
      <c r="H154" s="613">
        <f t="shared" ref="H154" si="26">+J$94*G154+E154</f>
        <v>0</v>
      </c>
      <c r="I154" s="614">
        <f t="shared" ref="I154" si="27">+J$95*G154+E154</f>
        <v>0</v>
      </c>
      <c r="J154" s="495">
        <f t="shared" si="22"/>
        <v>0</v>
      </c>
      <c r="K154" s="478"/>
      <c r="L154" s="494"/>
      <c r="M154" s="495">
        <f t="shared" si="23"/>
        <v>0</v>
      </c>
      <c r="N154" s="494"/>
      <c r="O154" s="495">
        <f t="shared" si="24"/>
        <v>0</v>
      </c>
      <c r="P154" s="495">
        <f t="shared" si="25"/>
        <v>0</v>
      </c>
    </row>
    <row r="155" spans="2:16">
      <c r="C155" s="347" t="s">
        <v>77</v>
      </c>
      <c r="D155" s="348"/>
      <c r="E155" s="348">
        <f>SUM(E99:E154)</f>
        <v>8147701</v>
      </c>
      <c r="F155" s="348"/>
      <c r="G155" s="348"/>
      <c r="H155" s="348">
        <f>SUM(H99:H154)</f>
        <v>27538915.894939911</v>
      </c>
      <c r="I155" s="348">
        <f>SUM(I99:I154)</f>
        <v>27538915.894939911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9" priority="1" stopIfTrue="1" operator="equal">
      <formula>$I$10</formula>
    </cfRule>
  </conditionalFormatting>
  <conditionalFormatting sqref="C99:C154">
    <cfRule type="cellIs" dxfId="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>
    <tabColor rgb="FFFFFF00"/>
  </sheetPr>
  <dimension ref="A1:S137"/>
  <sheetViews>
    <sheetView topLeftCell="E115" zoomScale="70" zoomScaleNormal="70" zoomScaleSheetLayoutView="100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0.7109375" style="148" customWidth="1"/>
    <col min="4" max="9" width="17.7109375" style="148" customWidth="1"/>
    <col min="10" max="10" width="17.7109375" style="148" bestFit="1" customWidth="1"/>
    <col min="11" max="11" width="2.140625" style="148" customWidth="1"/>
    <col min="12" max="15" width="17.7109375" style="148" customWidth="1"/>
    <col min="16" max="16" width="19.5703125" style="148" customWidth="1"/>
    <col min="17" max="17" width="2.140625" style="148" customWidth="1"/>
    <col min="18" max="18" width="16.42578125" style="148" customWidth="1"/>
    <col min="19" max="19" width="52.42578125" style="148" customWidth="1"/>
    <col min="20" max="16384" width="8.7109375" style="148"/>
  </cols>
  <sheetData>
    <row r="1" spans="1:19" ht="18">
      <c r="A1" s="646" t="str">
        <f>'PSO.WS.F.BPU.ATRR.Projected'!A1</f>
        <v xml:space="preserve">AEP West SPP Member Companies 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Q1" s="195"/>
      <c r="R1" s="195"/>
    </row>
    <row r="2" spans="1:19" ht="18">
      <c r="A2" s="646" t="str">
        <f>'PSO.WS.F.BPU.ATRR.Projected'!A2</f>
        <v>2022 Cost of Service Formula Rate Projected on 2021 FF1 Balances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Q2" s="240" t="s">
        <v>125</v>
      </c>
      <c r="R2" s="195"/>
    </row>
    <row r="3" spans="1:19" ht="18">
      <c r="A3" s="649" t="s">
        <v>141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Q3" s="195"/>
      <c r="R3" s="195"/>
    </row>
    <row r="4" spans="1:19" ht="18">
      <c r="A4" s="648" t="str">
        <f>"Based on a Carrying Charge Derived from ""Trued-Up"" "&amp;M16&amp;" Data"</f>
        <v>Based on a Carrying Charge Derived from "Trued-Up" 2021 Data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Q4" s="195"/>
      <c r="R4" s="195"/>
    </row>
    <row r="5" spans="1:19" ht="18">
      <c r="A5" s="654" t="str">
        <f>'PSO.WS.F.BPU.ATRR.Projected'!A5</f>
        <v>PUBLIC SERVICE COMPANY OF OKLAHOMA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Q5" s="195"/>
      <c r="R5" s="195"/>
    </row>
    <row r="6" spans="1:19" ht="20.25">
      <c r="A6" s="374"/>
      <c r="C6" s="304"/>
      <c r="D6" s="160"/>
      <c r="I6" s="217"/>
      <c r="K6" s="195"/>
      <c r="Q6" s="195"/>
      <c r="R6" s="195"/>
    </row>
    <row r="7" spans="1:19">
      <c r="D7" s="160"/>
      <c r="I7" s="217"/>
      <c r="K7" s="195"/>
      <c r="Q7" s="195"/>
      <c r="R7" s="195"/>
    </row>
    <row r="8" spans="1:19" ht="38.25" customHeight="1">
      <c r="B8" s="244" t="s">
        <v>0</v>
      </c>
      <c r="C8" s="651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652"/>
      <c r="E8" s="652"/>
      <c r="F8" s="652"/>
      <c r="G8" s="652"/>
      <c r="H8" s="652"/>
      <c r="I8" s="652"/>
      <c r="K8" s="195"/>
      <c r="Q8" s="195"/>
      <c r="R8" s="195"/>
    </row>
    <row r="9" spans="1:19" ht="15.75" customHeight="1">
      <c r="C9" s="375"/>
      <c r="D9" s="375"/>
      <c r="E9" s="375"/>
      <c r="F9" s="375"/>
      <c r="G9" s="375"/>
      <c r="H9" s="375"/>
      <c r="I9" s="375"/>
      <c r="K9" s="195"/>
      <c r="Q9" s="195"/>
      <c r="R9" s="195"/>
    </row>
    <row r="10" spans="1:19" ht="15.75">
      <c r="C10" s="245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I10" s="217"/>
      <c r="K10" s="195"/>
      <c r="Q10" s="195"/>
      <c r="R10" s="195"/>
    </row>
    <row r="11" spans="1:19">
      <c r="D11" s="160"/>
      <c r="I11" s="217"/>
      <c r="K11" s="195"/>
      <c r="Q11" s="195"/>
      <c r="R11" s="195"/>
    </row>
    <row r="12" spans="1:19">
      <c r="C12" s="248" t="str">
        <f>S105</f>
        <v xml:space="preserve">   ROE w/o incentives  (True-Up TCOS, ln 135)</v>
      </c>
      <c r="D12" s="160"/>
      <c r="E12" s="249"/>
      <c r="F12" s="250">
        <f>+R105</f>
        <v>0.105</v>
      </c>
      <c r="G12" s="250"/>
      <c r="H12" s="251"/>
      <c r="I12" s="252"/>
      <c r="J12" s="253"/>
      <c r="K12" s="254"/>
      <c r="L12" s="253"/>
      <c r="M12" s="253"/>
      <c r="N12" s="253"/>
      <c r="O12" s="253"/>
      <c r="P12" s="253"/>
      <c r="Q12" s="254"/>
      <c r="R12" s="243"/>
      <c r="S12" s="233"/>
    </row>
    <row r="13" spans="1:19" ht="13.5" thickBot="1">
      <c r="C13" s="248" t="s">
        <v>1</v>
      </c>
      <c r="D13" s="160"/>
      <c r="E13" s="249"/>
      <c r="F13" s="376">
        <f>R106</f>
        <v>0</v>
      </c>
      <c r="G13" s="377" t="s">
        <v>152</v>
      </c>
      <c r="L13" s="253"/>
      <c r="M13" s="253"/>
      <c r="N13" s="253"/>
      <c r="O13" s="253"/>
      <c r="P13" s="253"/>
      <c r="Q13" s="254"/>
      <c r="R13" s="243"/>
      <c r="S13" s="233"/>
    </row>
    <row r="14" spans="1:19">
      <c r="C14" s="248" t="str">
        <f>"   ROE with additional "&amp;F13&amp;" basis point incentive"</f>
        <v xml:space="preserve">   ROE with additional 0 basis point incentive</v>
      </c>
      <c r="D14" s="249"/>
      <c r="E14" s="249"/>
      <c r="F14" s="256">
        <f>IF((F12+(F13/10000)&gt;0.1245),"ERROR",F12+(F13/10000))</f>
        <v>0.105</v>
      </c>
      <c r="G14" s="257" t="s">
        <v>2</v>
      </c>
      <c r="I14" s="253"/>
      <c r="J14" s="253"/>
      <c r="K14" s="254"/>
      <c r="L14" s="378" t="s">
        <v>89</v>
      </c>
      <c r="M14" s="379"/>
      <c r="N14" s="379"/>
      <c r="O14" s="379"/>
      <c r="P14" s="380"/>
      <c r="Q14" s="254"/>
      <c r="R14" s="243"/>
      <c r="S14" s="233"/>
    </row>
    <row r="15" spans="1:19">
      <c r="C15" s="248" t="s">
        <v>235</v>
      </c>
      <c r="D15" s="160"/>
      <c r="E15" s="249"/>
      <c r="F15" s="256"/>
      <c r="G15" s="256"/>
      <c r="H15" s="249"/>
      <c r="I15" s="253"/>
      <c r="J15" s="253"/>
      <c r="K15" s="254"/>
      <c r="L15" s="266"/>
      <c r="M15" s="254"/>
      <c r="N15" s="254" t="s">
        <v>8</v>
      </c>
      <c r="O15" s="254" t="s">
        <v>9</v>
      </c>
      <c r="P15" s="268" t="s">
        <v>10</v>
      </c>
      <c r="Q15" s="254"/>
      <c r="R15" s="243"/>
      <c r="S15" s="233"/>
    </row>
    <row r="16" spans="1:19">
      <c r="C16" s="254"/>
      <c r="D16" s="258" t="s">
        <v>4</v>
      </c>
      <c r="E16" s="258" t="s">
        <v>5</v>
      </c>
      <c r="F16" s="259" t="s">
        <v>6</v>
      </c>
      <c r="G16" s="259"/>
      <c r="H16" s="249"/>
      <c r="I16" s="253"/>
      <c r="J16" s="253"/>
      <c r="K16" s="254"/>
      <c r="L16" s="266" t="s">
        <v>90</v>
      </c>
      <c r="M16" s="381">
        <f>+R104</f>
        <v>2021</v>
      </c>
      <c r="N16" s="195"/>
      <c r="O16" s="195"/>
      <c r="P16" s="273"/>
      <c r="Q16" s="254"/>
      <c r="R16" s="243"/>
      <c r="S16" s="233"/>
    </row>
    <row r="17" spans="3:19">
      <c r="C17" s="260" t="s">
        <v>7</v>
      </c>
      <c r="D17" s="261">
        <f>R107</f>
        <v>0.45612323681704114</v>
      </c>
      <c r="E17" s="262">
        <f>R108</f>
        <v>3.4943152329142656E-2</v>
      </c>
      <c r="F17" s="382">
        <f>E17*D17</f>
        <v>1.593838374495948E-2</v>
      </c>
      <c r="G17" s="382"/>
      <c r="H17" s="249"/>
      <c r="I17" s="253"/>
      <c r="J17" s="264"/>
      <c r="K17" s="265"/>
      <c r="L17" s="272"/>
      <c r="M17" s="383" t="s">
        <v>219</v>
      </c>
      <c r="N17" s="384">
        <f>SUM('P.001:P.xyz - blank'!M87)</f>
        <v>8270466.4672365077</v>
      </c>
      <c r="O17" s="384">
        <f>SUM('P.001:P.xyz - blank'!N87)</f>
        <v>8270466.4672365077</v>
      </c>
      <c r="P17" s="385">
        <f>+O17-N17</f>
        <v>0</v>
      </c>
      <c r="Q17" s="265"/>
      <c r="R17" s="243"/>
      <c r="S17" s="233"/>
    </row>
    <row r="18" spans="3:19" ht="13.5" thickBot="1">
      <c r="C18" s="260" t="s">
        <v>11</v>
      </c>
      <c r="D18" s="261">
        <f>R109</f>
        <v>0</v>
      </c>
      <c r="E18" s="262">
        <f>R110</f>
        <v>0</v>
      </c>
      <c r="F18" s="382">
        <f>E18*D18</f>
        <v>0</v>
      </c>
      <c r="G18" s="382"/>
      <c r="H18" s="269"/>
      <c r="I18" s="269"/>
      <c r="J18" s="270"/>
      <c r="K18" s="271"/>
      <c r="L18" s="272"/>
      <c r="M18" s="386" t="s">
        <v>218</v>
      </c>
      <c r="N18" s="387">
        <f>SUM('P.001:P.xyz - blank'!M88)</f>
        <v>8678780.3721792269</v>
      </c>
      <c r="O18" s="387">
        <f>SUM('P.001:P.xyz - blank'!N88)</f>
        <v>8678780.3721792269</v>
      </c>
      <c r="P18" s="279">
        <f>+O18-N18</f>
        <v>0</v>
      </c>
      <c r="Q18" s="271"/>
      <c r="R18" s="243"/>
      <c r="S18" s="233"/>
    </row>
    <row r="19" spans="3:19">
      <c r="C19" s="274" t="s">
        <v>12</v>
      </c>
      <c r="D19" s="261">
        <f>R111</f>
        <v>0.54387676318295886</v>
      </c>
      <c r="E19" s="262">
        <f>+F14</f>
        <v>0.105</v>
      </c>
      <c r="F19" s="388">
        <f>E19*D19</f>
        <v>5.7107060134210678E-2</v>
      </c>
      <c r="G19" s="388"/>
      <c r="H19" s="269"/>
      <c r="I19" s="269"/>
      <c r="J19" s="256"/>
      <c r="K19" s="271"/>
      <c r="L19" s="272"/>
      <c r="M19" s="389" t="str">
        <f>"True-up Adjustment For "&amp;M16&amp;""</f>
        <v>True-up Adjustment For 2021</v>
      </c>
      <c r="N19" s="390">
        <f>+N18-N17</f>
        <v>408313.90494271927</v>
      </c>
      <c r="O19" s="390">
        <f>+O18-O17</f>
        <v>408313.90494271927</v>
      </c>
      <c r="P19" s="391">
        <f>+P18-P17</f>
        <v>0</v>
      </c>
      <c r="Q19" s="271"/>
      <c r="R19" s="243"/>
      <c r="S19" s="233"/>
    </row>
    <row r="20" spans="3:19">
      <c r="C20" s="248"/>
      <c r="D20" s="249"/>
      <c r="E20" s="280" t="s">
        <v>14</v>
      </c>
      <c r="F20" s="382">
        <f>SUM(F17:F19)</f>
        <v>7.3045443879170155E-2</v>
      </c>
      <c r="G20" s="382"/>
      <c r="H20" s="392"/>
      <c r="I20" s="269"/>
      <c r="J20" s="270"/>
      <c r="K20" s="271"/>
      <c r="L20" s="272"/>
      <c r="M20" s="195"/>
      <c r="N20" s="281" t="str">
        <f>IF(ROUND(N19,0)=ROUND(SUM('P.001:P.xyz - blank'!M89),0),"","ERROR")</f>
        <v/>
      </c>
      <c r="O20" s="281" t="str">
        <f>IF(ROUND(O19,0)=ROUND(SUM('P.001:P.xyz - blank'!N89),0),"","ERROR")</f>
        <v/>
      </c>
      <c r="P20" s="281" t="str">
        <f>IF(P19=SUM('P.001:P.xyz - blank'!O89),"","ERROR")</f>
        <v/>
      </c>
      <c r="Q20" s="271"/>
      <c r="R20" s="243"/>
      <c r="S20" s="233"/>
    </row>
    <row r="21" spans="3:19" ht="13.5" thickBot="1">
      <c r="D21" s="282"/>
      <c r="E21" s="282"/>
      <c r="F21" s="269"/>
      <c r="G21" s="269"/>
      <c r="H21" s="269"/>
      <c r="I21" s="269"/>
      <c r="J21" s="269"/>
      <c r="K21" s="283"/>
      <c r="L21" s="393"/>
      <c r="M21" s="394"/>
      <c r="N21" s="395"/>
      <c r="O21" s="395"/>
      <c r="P21" s="279"/>
      <c r="Q21" s="283"/>
      <c r="R21" s="243"/>
      <c r="S21" s="233"/>
    </row>
    <row r="22" spans="3:19" ht="15.75">
      <c r="C22" s="245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2"/>
      <c r="E22" s="282"/>
      <c r="F22" s="284"/>
      <c r="G22" s="284"/>
      <c r="H22" s="269"/>
      <c r="I22" s="249"/>
      <c r="J22" s="269"/>
      <c r="K22" s="283"/>
      <c r="L22" s="269"/>
      <c r="M22" s="269"/>
      <c r="N22" s="269"/>
      <c r="O22" s="269"/>
      <c r="P22" s="269"/>
      <c r="Q22" s="283"/>
      <c r="R22" s="243"/>
      <c r="S22" s="233"/>
    </row>
    <row r="23" spans="3:19">
      <c r="C23" s="254"/>
      <c r="D23" s="282"/>
      <c r="E23" s="282"/>
      <c r="F23" s="283"/>
      <c r="G23" s="283"/>
      <c r="H23" s="283"/>
      <c r="I23" s="283"/>
      <c r="J23" s="283"/>
      <c r="K23" s="283"/>
      <c r="L23" s="178" t="s">
        <v>15</v>
      </c>
      <c r="M23" s="283"/>
      <c r="N23" s="283"/>
      <c r="O23" s="283"/>
      <c r="P23" s="283"/>
      <c r="Q23" s="283"/>
      <c r="R23" s="243"/>
      <c r="S23" s="233"/>
    </row>
    <row r="24" spans="3:19">
      <c r="C24" s="248" t="str">
        <f>S112</f>
        <v xml:space="preserve">   Rate Base  (True-Up TCOS, ln 63)</v>
      </c>
      <c r="D24" s="249"/>
      <c r="E24" s="286">
        <f>R112</f>
        <v>576614540.62033641</v>
      </c>
      <c r="F24" s="287"/>
      <c r="G24" s="287"/>
      <c r="H24" s="283"/>
      <c r="I24" s="283"/>
      <c r="J24" s="283"/>
      <c r="K24" s="283"/>
      <c r="L24" s="148" t="s">
        <v>16</v>
      </c>
      <c r="M24" s="283"/>
      <c r="N24" s="283"/>
      <c r="O24" s="283"/>
      <c r="P24" s="287"/>
      <c r="Q24" s="283"/>
      <c r="R24" s="243"/>
      <c r="S24" s="233"/>
    </row>
    <row r="25" spans="3:19">
      <c r="C25" s="254" t="s">
        <v>17</v>
      </c>
      <c r="D25" s="251"/>
      <c r="E25" s="288">
        <f>F20</f>
        <v>7.3045443879170155E-2</v>
      </c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43"/>
      <c r="S25" s="233"/>
    </row>
    <row r="26" spans="3:19">
      <c r="C26" s="289" t="s">
        <v>18</v>
      </c>
      <c r="D26" s="289"/>
      <c r="E26" s="270">
        <f>E24*E25</f>
        <v>42119065.066796266</v>
      </c>
      <c r="F26" s="283"/>
      <c r="G26" s="283"/>
      <c r="H26" s="283"/>
      <c r="I26" s="283"/>
      <c r="J26" s="271"/>
      <c r="K26" s="271"/>
      <c r="L26" s="271"/>
      <c r="M26" s="271"/>
      <c r="N26" s="271"/>
      <c r="O26" s="271"/>
      <c r="P26" s="283"/>
      <c r="Q26" s="271"/>
      <c r="R26" s="243"/>
      <c r="S26" s="233"/>
    </row>
    <row r="27" spans="3:19">
      <c r="C27" s="290"/>
      <c r="D27" s="253"/>
      <c r="E27" s="253"/>
      <c r="F27" s="283"/>
      <c r="G27" s="283"/>
      <c r="H27" s="283"/>
      <c r="I27" s="283"/>
      <c r="J27" s="271"/>
      <c r="K27" s="271"/>
      <c r="L27" s="271"/>
      <c r="M27" s="271"/>
      <c r="N27" s="271"/>
      <c r="O27" s="271"/>
      <c r="P27" s="283"/>
      <c r="Q27" s="271"/>
      <c r="R27" s="243"/>
      <c r="S27" s="233"/>
    </row>
    <row r="28" spans="3:19" ht="15.75">
      <c r="C28" s="245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91"/>
      <c r="E28" s="291"/>
      <c r="F28" s="292"/>
      <c r="G28" s="292"/>
      <c r="H28" s="292"/>
      <c r="I28" s="292"/>
      <c r="J28" s="293"/>
      <c r="K28" s="293"/>
      <c r="L28" s="293"/>
      <c r="M28" s="293"/>
      <c r="N28" s="293"/>
      <c r="O28" s="293"/>
      <c r="P28" s="292"/>
      <c r="Q28" s="293"/>
      <c r="R28" s="243"/>
      <c r="S28" s="233"/>
    </row>
    <row r="29" spans="3:19">
      <c r="C29" s="248"/>
      <c r="D29" s="253"/>
      <c r="E29" s="253"/>
      <c r="F29" s="283"/>
      <c r="G29" s="283"/>
      <c r="H29" s="283"/>
      <c r="I29" s="283"/>
      <c r="J29" s="271"/>
      <c r="K29" s="271"/>
      <c r="L29" s="271"/>
      <c r="M29" s="271"/>
      <c r="N29" s="271"/>
      <c r="O29" s="271"/>
      <c r="P29" s="283"/>
      <c r="Q29" s="271"/>
      <c r="R29" s="243"/>
      <c r="S29" s="233"/>
    </row>
    <row r="30" spans="3:19">
      <c r="C30" s="254" t="s">
        <v>19</v>
      </c>
      <c r="D30" s="280"/>
      <c r="E30" s="294">
        <f>E26</f>
        <v>42119065.066796266</v>
      </c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43"/>
      <c r="S30" s="233"/>
    </row>
    <row r="31" spans="3:19">
      <c r="C31" s="248" t="str">
        <f>S113</f>
        <v xml:space="preserve">   Tax Rate  (True-Up TCOS, ln 105)</v>
      </c>
      <c r="D31" s="280"/>
      <c r="E31" s="295">
        <f>R113</f>
        <v>0.25321299999999991</v>
      </c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43"/>
      <c r="S31" s="233"/>
    </row>
    <row r="32" spans="3:19">
      <c r="C32" s="254" t="s">
        <v>20</v>
      </c>
      <c r="D32" s="241"/>
      <c r="E32" s="256">
        <f>IF(F17&gt;0,($E31/(1-$E31))*(1-$F17/$F20),0)</f>
        <v>0.26508546795705962</v>
      </c>
      <c r="F32" s="233"/>
      <c r="G32" s="233"/>
      <c r="H32" s="233"/>
      <c r="I32" s="242"/>
      <c r="J32" s="233"/>
      <c r="K32" s="243"/>
      <c r="L32" s="233"/>
      <c r="M32" s="233"/>
      <c r="N32" s="233"/>
      <c r="O32" s="233"/>
      <c r="P32" s="233"/>
      <c r="Q32" s="243"/>
      <c r="R32" s="243"/>
      <c r="S32" s="339"/>
    </row>
    <row r="33" spans="2:19">
      <c r="C33" s="290" t="s">
        <v>21</v>
      </c>
      <c r="D33" s="241"/>
      <c r="E33" s="297">
        <f>E30*E32</f>
        <v>11165152.073145531</v>
      </c>
      <c r="F33" s="233"/>
      <c r="G33" s="233"/>
      <c r="H33" s="233"/>
      <c r="I33" s="242"/>
      <c r="J33" s="233"/>
      <c r="K33" s="243"/>
      <c r="L33" s="233"/>
      <c r="M33" s="233"/>
      <c r="N33" s="233"/>
      <c r="O33" s="233"/>
      <c r="P33" s="233"/>
      <c r="Q33" s="243"/>
      <c r="R33" s="243"/>
      <c r="S33" s="233"/>
    </row>
    <row r="34" spans="2:19" ht="15">
      <c r="C34" s="248" t="str">
        <f>+S114</f>
        <v xml:space="preserve">   ITC Adjustment  (True-Up TCOS, ln 102)</v>
      </c>
      <c r="D34" s="298"/>
      <c r="E34" s="299">
        <f>R114</f>
        <v>-397904.12505828106</v>
      </c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300"/>
      <c r="Q34" s="298"/>
      <c r="R34" s="243"/>
      <c r="S34" s="233"/>
    </row>
    <row r="35" spans="2:19" ht="15">
      <c r="C35" s="306" t="str">
        <f>+S115</f>
        <v xml:space="preserve">   Excess DFIT Adjustment  (TCOS, ln 109)</v>
      </c>
      <c r="D35" s="298"/>
      <c r="E35" s="299">
        <f>R115</f>
        <v>-4796610.6158784227</v>
      </c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300"/>
      <c r="Q35" s="298"/>
      <c r="R35" s="243"/>
      <c r="S35" s="233"/>
    </row>
    <row r="36" spans="2:19" ht="15">
      <c r="C36" s="306" t="str">
        <f>+S116</f>
        <v xml:space="preserve">   Tax Effect of Permanent and Flow Through Differences (TCOS, ln 110)</v>
      </c>
      <c r="D36" s="298"/>
      <c r="E36" s="299">
        <f>R116</f>
        <v>72099.192942565947</v>
      </c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300"/>
      <c r="Q36" s="298"/>
      <c r="R36" s="243"/>
      <c r="S36" s="233"/>
    </row>
    <row r="37" spans="2:19" ht="15">
      <c r="C37" s="290" t="s">
        <v>22</v>
      </c>
      <c r="D37" s="298"/>
      <c r="E37" s="299">
        <f>E33+E34+E35+E36</f>
        <v>6042736.5251513943</v>
      </c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301"/>
      <c r="Q37" s="298"/>
      <c r="R37" s="243"/>
      <c r="S37" s="233"/>
    </row>
    <row r="38" spans="2:19" ht="12.75" customHeight="1">
      <c r="C38" s="302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301"/>
      <c r="Q38" s="298"/>
      <c r="R38" s="243"/>
      <c r="S38" s="233"/>
    </row>
    <row r="39" spans="2:19" ht="18.75">
      <c r="B39" s="303" t="s">
        <v>23</v>
      </c>
      <c r="C39" s="304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301"/>
      <c r="Q39" s="298"/>
      <c r="R39" s="243"/>
      <c r="S39" s="233"/>
    </row>
    <row r="40" spans="2:19" ht="18.75" customHeight="1">
      <c r="B40" s="303"/>
      <c r="C40" s="304" t="str">
        <f>"ROE increase."</f>
        <v>ROE increase.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301"/>
      <c r="Q40" s="298"/>
      <c r="R40" s="243"/>
      <c r="S40" s="233"/>
    </row>
    <row r="41" spans="2:19" ht="12.75" customHeight="1">
      <c r="C41" s="302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301"/>
      <c r="Q41" s="298"/>
      <c r="R41" s="243"/>
      <c r="S41" s="233"/>
    </row>
    <row r="42" spans="2:19" ht="15.75">
      <c r="C42" s="245" t="s">
        <v>24</v>
      </c>
      <c r="D42" s="298"/>
      <c r="E42" s="298"/>
      <c r="F42" s="305"/>
      <c r="G42" s="305"/>
      <c r="H42" s="298"/>
      <c r="I42" s="298"/>
      <c r="J42" s="298"/>
      <c r="K42" s="298"/>
      <c r="L42" s="298"/>
      <c r="M42" s="298"/>
      <c r="N42" s="298"/>
      <c r="O42" s="298"/>
      <c r="P42" s="301"/>
      <c r="Q42" s="298"/>
      <c r="R42" s="243"/>
      <c r="S42" s="233"/>
    </row>
    <row r="43" spans="2:19">
      <c r="B43" s="233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299"/>
      <c r="Q43" s="307"/>
      <c r="R43" s="243"/>
      <c r="S43" s="233"/>
    </row>
    <row r="44" spans="2:19" ht="12.75" customHeight="1">
      <c r="B44" s="233"/>
      <c r="C44" s="248" t="str">
        <f>S117</f>
        <v xml:space="preserve">   Net Revenue Requirement  (True-Up TCOS, ln 109)</v>
      </c>
      <c r="D44" s="307"/>
      <c r="E44" s="307"/>
      <c r="F44" s="299">
        <f>R117</f>
        <v>101516645.5472271</v>
      </c>
      <c r="G44" s="299"/>
      <c r="H44" s="307"/>
      <c r="I44" s="307"/>
      <c r="J44" s="307"/>
      <c r="K44" s="307"/>
      <c r="L44" s="307"/>
      <c r="M44" s="307"/>
      <c r="N44" s="307"/>
      <c r="O44" s="307"/>
      <c r="P44" s="299"/>
      <c r="Q44" s="307"/>
      <c r="R44" s="243"/>
      <c r="S44" s="233"/>
    </row>
    <row r="45" spans="2:19">
      <c r="B45" s="233"/>
      <c r="C45" s="248" t="str">
        <f>S118</f>
        <v xml:space="preserve">   Return  (True-Up TCOS, ln 104)</v>
      </c>
      <c r="D45" s="307"/>
      <c r="E45" s="307"/>
      <c r="F45" s="299">
        <f>R118</f>
        <v>42119065.066796266</v>
      </c>
      <c r="G45" s="308"/>
      <c r="H45" s="309"/>
      <c r="I45" s="309"/>
      <c r="J45" s="309"/>
      <c r="K45" s="309"/>
      <c r="L45" s="309"/>
      <c r="M45" s="309"/>
      <c r="N45" s="309"/>
      <c r="O45" s="309"/>
      <c r="P45" s="299"/>
      <c r="Q45" s="309"/>
      <c r="R45" s="243"/>
      <c r="S45" s="233"/>
    </row>
    <row r="46" spans="2:19">
      <c r="B46" s="233"/>
      <c r="C46" s="248" t="str">
        <f>S119</f>
        <v xml:space="preserve">   Income Taxes  (True-Up TCOS, ln 103)</v>
      </c>
      <c r="D46" s="307"/>
      <c r="E46" s="307"/>
      <c r="F46" s="299">
        <f>R119</f>
        <v>6042736.5251513943</v>
      </c>
      <c r="G46" s="299"/>
      <c r="H46" s="307"/>
      <c r="I46" s="307"/>
      <c r="J46" s="310"/>
      <c r="K46" s="310"/>
      <c r="L46" s="310"/>
      <c r="M46" s="310"/>
      <c r="N46" s="310"/>
      <c r="O46" s="310"/>
      <c r="P46" s="307"/>
      <c r="Q46" s="310"/>
      <c r="R46" s="243"/>
      <c r="S46" s="233"/>
    </row>
    <row r="47" spans="2:19">
      <c r="B47" s="233"/>
      <c r="C47" s="248" t="str">
        <f>S120</f>
        <v xml:space="preserve">  Gross Margin Taxes  (True-Up TCOS, ln 108)</v>
      </c>
      <c r="D47" s="307"/>
      <c r="E47" s="307"/>
      <c r="F47" s="311">
        <f>R120</f>
        <v>0</v>
      </c>
      <c r="G47" s="299"/>
      <c r="H47" s="307"/>
      <c r="I47" s="307"/>
      <c r="J47" s="310"/>
      <c r="K47" s="310"/>
      <c r="L47" s="310"/>
      <c r="M47" s="310"/>
      <c r="N47" s="310"/>
      <c r="O47" s="310"/>
      <c r="P47" s="307"/>
      <c r="Q47" s="310"/>
      <c r="R47" s="243"/>
      <c r="S47" s="233"/>
    </row>
    <row r="48" spans="2:19">
      <c r="B48" s="233"/>
      <c r="C48" s="312" t="s">
        <v>25</v>
      </c>
      <c r="D48" s="307"/>
      <c r="E48" s="307"/>
      <c r="F48" s="308">
        <f>F44-F45-F46-F47</f>
        <v>53354843.95527944</v>
      </c>
      <c r="G48" s="308"/>
      <c r="H48" s="313"/>
      <c r="I48" s="307"/>
      <c r="J48" s="313"/>
      <c r="K48" s="313"/>
      <c r="L48" s="313"/>
      <c r="M48" s="313"/>
      <c r="N48" s="313"/>
      <c r="O48" s="313"/>
      <c r="P48" s="313"/>
      <c r="Q48" s="313"/>
      <c r="R48" s="243"/>
      <c r="S48" s="233"/>
    </row>
    <row r="49" spans="2:19">
      <c r="B49" s="233"/>
      <c r="C49" s="306"/>
      <c r="D49" s="307"/>
      <c r="E49" s="307"/>
      <c r="F49" s="299"/>
      <c r="G49" s="299"/>
      <c r="H49" s="314"/>
      <c r="I49" s="315"/>
      <c r="J49" s="315"/>
      <c r="K49" s="315"/>
      <c r="L49" s="315"/>
      <c r="M49" s="315"/>
      <c r="N49" s="315"/>
      <c r="O49" s="315"/>
      <c r="P49" s="315"/>
      <c r="Q49" s="315"/>
      <c r="R49" s="243"/>
      <c r="S49" s="233"/>
    </row>
    <row r="50" spans="2:19" ht="15.75">
      <c r="B50" s="233"/>
      <c r="C50" s="245" t="str">
        <f>"B.   Determine Net Revenue Requirement with hypothetical "&amp;F13&amp;" basis point increase in ROE."</f>
        <v>B.   Determine Net Revenue Requirement with hypothetical 0 basis point increase in ROE.</v>
      </c>
      <c r="D50" s="316"/>
      <c r="E50" s="316"/>
      <c r="F50" s="299"/>
      <c r="G50" s="299"/>
      <c r="H50" s="314"/>
      <c r="I50" s="315"/>
      <c r="J50" s="315"/>
      <c r="K50" s="315"/>
      <c r="L50" s="315"/>
      <c r="M50" s="315"/>
      <c r="N50" s="315"/>
      <c r="O50" s="315"/>
      <c r="P50" s="315"/>
      <c r="Q50" s="315"/>
      <c r="R50" s="243"/>
      <c r="S50" s="233"/>
    </row>
    <row r="51" spans="2:19">
      <c r="B51" s="233"/>
      <c r="C51" s="306"/>
      <c r="D51" s="316"/>
      <c r="E51" s="316"/>
      <c r="F51" s="299"/>
      <c r="G51" s="299"/>
      <c r="H51" s="314"/>
      <c r="I51" s="315"/>
      <c r="J51" s="315"/>
      <c r="K51" s="315"/>
      <c r="L51" s="315"/>
      <c r="M51" s="315"/>
      <c r="N51" s="315"/>
      <c r="O51" s="315"/>
      <c r="P51" s="315"/>
      <c r="Q51" s="315"/>
      <c r="R51" s="243"/>
      <c r="S51" s="233"/>
    </row>
    <row r="52" spans="2:19">
      <c r="B52" s="233"/>
      <c r="C52" s="306" t="str">
        <f>C48</f>
        <v xml:space="preserve">   Net Revenue Requirement, Less Return and Taxes</v>
      </c>
      <c r="D52" s="316"/>
      <c r="E52" s="316"/>
      <c r="F52" s="299">
        <f>F48</f>
        <v>53354843.95527944</v>
      </c>
      <c r="G52" s="299"/>
      <c r="H52" s="307"/>
      <c r="I52" s="307"/>
      <c r="J52" s="307"/>
      <c r="K52" s="307"/>
      <c r="L52" s="307"/>
      <c r="M52" s="307"/>
      <c r="N52" s="307"/>
      <c r="O52" s="307"/>
      <c r="P52" s="319"/>
      <c r="Q52" s="307"/>
      <c r="R52" s="243"/>
      <c r="S52" s="233"/>
    </row>
    <row r="53" spans="2:19">
      <c r="B53" s="233"/>
      <c r="C53" s="254" t="s">
        <v>103</v>
      </c>
      <c r="D53" s="321"/>
      <c r="E53" s="312"/>
      <c r="F53" s="322">
        <f>E26</f>
        <v>42119065.066796266</v>
      </c>
      <c r="G53" s="322"/>
      <c r="H53" s="312"/>
      <c r="I53" s="323"/>
      <c r="J53" s="312"/>
      <c r="K53" s="312"/>
      <c r="L53" s="312"/>
      <c r="M53" s="312"/>
      <c r="N53" s="312"/>
      <c r="O53" s="312"/>
      <c r="P53" s="312"/>
      <c r="Q53" s="312"/>
      <c r="R53" s="243"/>
      <c r="S53" s="233"/>
    </row>
    <row r="54" spans="2:19" ht="12.75" customHeight="1">
      <c r="B54" s="233"/>
      <c r="C54" s="248" t="s">
        <v>26</v>
      </c>
      <c r="D54" s="307"/>
      <c r="E54" s="307"/>
      <c r="F54" s="396">
        <f>E37</f>
        <v>6042736.5251513943</v>
      </c>
      <c r="G54" s="324"/>
      <c r="H54" s="233"/>
      <c r="I54" s="242"/>
      <c r="J54" s="233"/>
      <c r="K54" s="243"/>
      <c r="L54" s="233"/>
      <c r="M54" s="233"/>
      <c r="N54" s="233"/>
      <c r="O54" s="233"/>
      <c r="P54" s="233"/>
      <c r="Q54" s="243"/>
      <c r="R54" s="243"/>
      <c r="S54" s="233"/>
    </row>
    <row r="55" spans="2:19">
      <c r="B55" s="233"/>
      <c r="C55" s="312" t="str">
        <f>"   Net Revenue Requirement, with "&amp;F13&amp;" Basis Point ROE increase"</f>
        <v xml:space="preserve">   Net Revenue Requirement, with 0 Basis Point ROE increase</v>
      </c>
      <c r="D55" s="241"/>
      <c r="E55" s="233"/>
      <c r="F55" s="297">
        <f>SUM(F52:F54)</f>
        <v>101516645.54722711</v>
      </c>
      <c r="G55" s="297"/>
      <c r="H55" s="233"/>
      <c r="I55" s="242"/>
      <c r="J55" s="233"/>
      <c r="K55" s="243"/>
      <c r="L55" s="233"/>
      <c r="M55" s="233"/>
      <c r="N55" s="233"/>
      <c r="O55" s="233"/>
      <c r="P55" s="233"/>
      <c r="Q55" s="243"/>
      <c r="R55" s="243"/>
      <c r="S55" s="233"/>
    </row>
    <row r="56" spans="2:19">
      <c r="B56" s="233"/>
      <c r="C56" s="325" t="str">
        <f>"   Gross Margin Tax with "&amp;F13&amp;" Basis Point ROE Increase (II C. below)"</f>
        <v xml:space="preserve">   Gross Margin Tax with 0 Basis Point ROE Increase (II C. below)</v>
      </c>
      <c r="D56" s="326"/>
      <c r="E56" s="326"/>
      <c r="F56" s="327">
        <f>+F71</f>
        <v>0</v>
      </c>
      <c r="G56" s="322"/>
      <c r="H56" s="233"/>
      <c r="I56" s="242"/>
      <c r="J56" s="233"/>
      <c r="K56" s="243"/>
      <c r="L56" s="233"/>
      <c r="M56" s="233"/>
      <c r="N56" s="233"/>
      <c r="O56" s="233"/>
      <c r="P56" s="233"/>
      <c r="Q56" s="243"/>
      <c r="R56" s="243"/>
      <c r="S56" s="233"/>
    </row>
    <row r="57" spans="2:19">
      <c r="B57" s="233"/>
      <c r="C57" s="312" t="s">
        <v>27</v>
      </c>
      <c r="D57" s="241"/>
      <c r="E57" s="233"/>
      <c r="F57" s="328">
        <f>+F55+F56</f>
        <v>101516645.54722711</v>
      </c>
      <c r="G57" s="328"/>
      <c r="H57" s="233"/>
      <c r="I57" s="242"/>
      <c r="J57" s="233"/>
      <c r="K57" s="243"/>
      <c r="L57" s="233"/>
      <c r="M57" s="233"/>
      <c r="N57" s="233"/>
      <c r="O57" s="233"/>
      <c r="P57" s="233"/>
      <c r="Q57" s="243"/>
      <c r="R57" s="243"/>
      <c r="S57" s="233"/>
    </row>
    <row r="58" spans="2:19">
      <c r="B58" s="233"/>
      <c r="C58" s="248" t="str">
        <f>S121</f>
        <v xml:space="preserve">   Less: Depreciation  (True-Up TCOS, ln 82)</v>
      </c>
      <c r="D58" s="241"/>
      <c r="E58" s="233"/>
      <c r="F58" s="329">
        <f>R121</f>
        <v>22302747.576007824</v>
      </c>
      <c r="G58" s="329"/>
      <c r="H58" s="233"/>
      <c r="I58" s="242"/>
      <c r="J58" s="233"/>
      <c r="K58" s="243"/>
      <c r="L58" s="233"/>
      <c r="M58" s="233"/>
      <c r="N58" s="233"/>
      <c r="O58" s="233"/>
      <c r="P58" s="233"/>
      <c r="Q58" s="243"/>
      <c r="R58" s="243"/>
      <c r="S58" s="233"/>
    </row>
    <row r="59" spans="2:19">
      <c r="B59" s="233"/>
      <c r="C59" s="312" t="str">
        <f>"   Net Rev. Req, w/"&amp;F13&amp;" Basis Point ROE increase, less Depreciation"</f>
        <v xml:space="preserve">   Net Rev. Req, w/0 Basis Point ROE increase, less Depreciation</v>
      </c>
      <c r="D59" s="241"/>
      <c r="E59" s="233"/>
      <c r="F59" s="297">
        <f>F57-F58</f>
        <v>79213897.971219286</v>
      </c>
      <c r="G59" s="297"/>
      <c r="H59" s="233"/>
      <c r="I59" s="242"/>
      <c r="J59" s="233"/>
      <c r="K59" s="243"/>
      <c r="L59" s="233"/>
      <c r="M59" s="233"/>
      <c r="N59" s="233"/>
      <c r="O59" s="233"/>
      <c r="P59" s="233"/>
      <c r="Q59" s="243"/>
      <c r="R59" s="243"/>
      <c r="S59" s="233"/>
    </row>
    <row r="60" spans="2:19">
      <c r="B60" s="233"/>
      <c r="C60" s="233"/>
      <c r="D60" s="241"/>
      <c r="E60" s="233"/>
      <c r="F60" s="233"/>
      <c r="G60" s="233"/>
      <c r="H60" s="233"/>
      <c r="I60" s="242"/>
      <c r="J60" s="233"/>
      <c r="K60" s="243"/>
      <c r="L60" s="233"/>
      <c r="M60" s="233"/>
      <c r="N60" s="233"/>
      <c r="O60" s="233"/>
      <c r="P60" s="233"/>
      <c r="Q60" s="243"/>
      <c r="R60" s="243"/>
      <c r="S60" s="233"/>
    </row>
    <row r="61" spans="2:19" ht="15.75">
      <c r="B61" s="233"/>
      <c r="C61" s="331" t="str">
        <f>"C.   Determine Gross Margin Tax with hypothetical "&amp;F13&amp;" basis point increase in ROE."</f>
        <v>C.   Determine Gross Margin Tax with hypothetical 0 basis point increase in ROE.</v>
      </c>
      <c r="D61" s="332"/>
      <c r="E61" s="332"/>
      <c r="F61" s="333"/>
      <c r="G61" s="333"/>
      <c r="H61" s="330"/>
      <c r="I61" s="242"/>
      <c r="J61" s="233"/>
      <c r="K61" s="243"/>
      <c r="L61" s="233"/>
      <c r="M61" s="233"/>
      <c r="N61" s="233"/>
      <c r="O61" s="233"/>
      <c r="P61" s="233"/>
      <c r="Q61" s="243"/>
      <c r="R61" s="243"/>
      <c r="S61" s="233"/>
    </row>
    <row r="62" spans="2:19">
      <c r="B62" s="233"/>
      <c r="C62" s="325" t="str">
        <f>"   Net Revenue Requirement before Gross Margin Taxes, with "&amp;F13&amp;" "</f>
        <v xml:space="preserve">   Net Revenue Requirement before Gross Margin Taxes, with 0 </v>
      </c>
      <c r="D62" s="332"/>
      <c r="E62" s="332"/>
      <c r="F62" s="333">
        <f>+F55</f>
        <v>101516645.54722711</v>
      </c>
      <c r="G62" s="333"/>
      <c r="H62" s="330"/>
      <c r="I62" s="242"/>
      <c r="J62" s="233"/>
      <c r="K62" s="243"/>
      <c r="L62" s="233"/>
      <c r="M62" s="233"/>
      <c r="N62" s="233"/>
      <c r="O62" s="233"/>
      <c r="P62" s="233"/>
      <c r="Q62" s="243"/>
      <c r="R62" s="243"/>
      <c r="S62" s="233"/>
    </row>
    <row r="63" spans="2:19">
      <c r="B63" s="233"/>
      <c r="C63" s="325" t="s">
        <v>28</v>
      </c>
      <c r="D63" s="332"/>
      <c r="E63" s="332"/>
      <c r="F63" s="333"/>
      <c r="G63" s="333"/>
      <c r="H63" s="330"/>
      <c r="I63" s="242"/>
      <c r="J63" s="233"/>
      <c r="K63" s="243"/>
      <c r="L63" s="233"/>
      <c r="M63" s="233"/>
      <c r="N63" s="233"/>
      <c r="O63" s="233"/>
      <c r="P63" s="233"/>
      <c r="Q63" s="243"/>
      <c r="R63" s="243"/>
      <c r="S63" s="233"/>
    </row>
    <row r="64" spans="2:19">
      <c r="B64" s="233"/>
      <c r="C64" s="312" t="str">
        <f>S122</f>
        <v xml:space="preserve">       Apportionment Factor to Texas (Worksheet K, ln 12)</v>
      </c>
      <c r="D64" s="296"/>
      <c r="E64" s="330"/>
      <c r="F64" s="335">
        <f>R122</f>
        <v>0</v>
      </c>
      <c r="G64" s="397"/>
      <c r="H64" s="330"/>
      <c r="I64" s="242"/>
      <c r="J64" s="233"/>
      <c r="K64" s="243"/>
      <c r="L64" s="233"/>
      <c r="M64" s="233"/>
      <c r="N64" s="233"/>
      <c r="O64" s="233"/>
      <c r="P64" s="233"/>
      <c r="Q64" s="243"/>
      <c r="R64" s="243"/>
      <c r="S64" s="233"/>
    </row>
    <row r="65" spans="2:19">
      <c r="B65" s="233"/>
      <c r="C65" s="312" t="s">
        <v>29</v>
      </c>
      <c r="D65" s="296"/>
      <c r="E65" s="330"/>
      <c r="F65" s="333">
        <f>+F64*F62</f>
        <v>0</v>
      </c>
      <c r="G65" s="333"/>
      <c r="H65" s="330"/>
      <c r="I65" s="242"/>
      <c r="J65" s="233"/>
      <c r="K65" s="243"/>
      <c r="L65" s="233"/>
      <c r="M65" s="233"/>
      <c r="N65" s="233"/>
      <c r="O65" s="233"/>
      <c r="P65" s="233"/>
      <c r="Q65" s="243"/>
      <c r="R65" s="243"/>
      <c r="S65" s="233"/>
    </row>
    <row r="66" spans="2:19">
      <c r="B66" s="233"/>
      <c r="C66" s="312" t="str">
        <f>+'PSO.WS.F.BPU.ATRR.Projected'!C66</f>
        <v xml:space="preserve">       Taxable Percentage of Revenue (22%)</v>
      </c>
      <c r="D66" s="296"/>
      <c r="E66" s="330"/>
      <c r="F66" s="336">
        <f>+'PSO.WS.F.BPU.ATRR.Projected'!F66</f>
        <v>0.22</v>
      </c>
      <c r="G66" s="398"/>
      <c r="H66" s="330"/>
      <c r="I66" s="242"/>
      <c r="J66" s="233"/>
      <c r="K66" s="243"/>
      <c r="L66" s="233"/>
      <c r="M66" s="233"/>
      <c r="N66" s="233"/>
      <c r="O66" s="233"/>
      <c r="P66" s="233"/>
      <c r="Q66" s="243"/>
      <c r="R66" s="243"/>
      <c r="S66" s="233"/>
    </row>
    <row r="67" spans="2:19">
      <c r="B67" s="233"/>
      <c r="C67" s="312" t="s">
        <v>30</v>
      </c>
      <c r="D67" s="296"/>
      <c r="E67" s="330"/>
      <c r="F67" s="333">
        <f>+F65*F66</f>
        <v>0</v>
      </c>
      <c r="G67" s="333"/>
      <c r="H67" s="330"/>
      <c r="I67" s="242"/>
      <c r="J67" s="233"/>
      <c r="K67" s="243"/>
      <c r="L67" s="233"/>
      <c r="M67" s="233"/>
      <c r="N67" s="233"/>
      <c r="O67" s="233"/>
      <c r="P67" s="233"/>
      <c r="Q67" s="243"/>
      <c r="R67" s="243"/>
      <c r="S67" s="233"/>
    </row>
    <row r="68" spans="2:19">
      <c r="B68" s="233"/>
      <c r="C68" s="312" t="s">
        <v>31</v>
      </c>
      <c r="D68" s="296"/>
      <c r="E68" s="330"/>
      <c r="F68" s="336">
        <v>0.01</v>
      </c>
      <c r="G68" s="398"/>
      <c r="H68" s="330"/>
      <c r="I68" s="242"/>
      <c r="J68" s="233"/>
      <c r="K68" s="243"/>
      <c r="L68" s="233"/>
      <c r="M68" s="233"/>
      <c r="N68" s="233"/>
      <c r="O68" s="233"/>
      <c r="P68" s="233"/>
      <c r="Q68" s="243"/>
      <c r="R68" s="243"/>
      <c r="S68" s="233"/>
    </row>
    <row r="69" spans="2:19">
      <c r="B69" s="233"/>
      <c r="C69" s="312" t="s">
        <v>32</v>
      </c>
      <c r="D69" s="296"/>
      <c r="E69" s="330"/>
      <c r="F69" s="333">
        <f>+F67*F68</f>
        <v>0</v>
      </c>
      <c r="G69" s="333"/>
      <c r="H69" s="330"/>
      <c r="I69" s="242"/>
      <c r="J69" s="233"/>
      <c r="K69" s="243"/>
      <c r="L69" s="233"/>
      <c r="M69" s="233"/>
      <c r="N69" s="233"/>
      <c r="O69" s="233"/>
      <c r="P69" s="233"/>
      <c r="Q69" s="243"/>
      <c r="R69" s="243"/>
      <c r="S69" s="233"/>
    </row>
    <row r="70" spans="2:19">
      <c r="B70" s="233"/>
      <c r="C70" s="312" t="s">
        <v>33</v>
      </c>
      <c r="D70" s="296"/>
      <c r="E70" s="330"/>
      <c r="F70" s="337">
        <f>+ROUND((F69*F66*F64)/(1-F68)*F68,0)</f>
        <v>0</v>
      </c>
      <c r="G70" s="399"/>
      <c r="H70" s="330"/>
      <c r="I70" s="242"/>
      <c r="J70" s="233"/>
      <c r="K70" s="243"/>
      <c r="L70" s="233"/>
      <c r="M70" s="233"/>
      <c r="N70" s="233"/>
      <c r="O70" s="233"/>
      <c r="P70" s="233"/>
      <c r="Q70" s="243"/>
      <c r="R70" s="243"/>
      <c r="S70" s="233"/>
    </row>
    <row r="71" spans="2:19">
      <c r="B71" s="233"/>
      <c r="C71" s="312" t="s">
        <v>34</v>
      </c>
      <c r="D71" s="296"/>
      <c r="E71" s="330"/>
      <c r="F71" s="333">
        <f>+F69+F70</f>
        <v>0</v>
      </c>
      <c r="G71" s="333"/>
      <c r="H71" s="330"/>
      <c r="I71" s="242"/>
      <c r="J71" s="233"/>
      <c r="K71" s="243"/>
      <c r="L71" s="233"/>
      <c r="M71" s="233"/>
      <c r="N71" s="233"/>
      <c r="O71" s="233"/>
      <c r="P71" s="233"/>
      <c r="Q71" s="243"/>
      <c r="R71" s="243"/>
      <c r="S71" s="233"/>
    </row>
    <row r="72" spans="2:19">
      <c r="B72" s="233"/>
      <c r="C72" s="233"/>
      <c r="D72" s="241"/>
      <c r="E72" s="233"/>
      <c r="F72" s="233"/>
      <c r="G72" s="233"/>
      <c r="H72" s="233"/>
      <c r="I72" s="242"/>
      <c r="J72" s="233"/>
      <c r="K72" s="243"/>
      <c r="L72" s="233"/>
      <c r="M72" s="233"/>
      <c r="N72" s="233"/>
      <c r="O72" s="233"/>
      <c r="P72" s="233"/>
      <c r="Q72" s="243"/>
      <c r="R72" s="243"/>
      <c r="S72" s="233"/>
    </row>
    <row r="73" spans="2:19" ht="15.75">
      <c r="B73" s="233"/>
      <c r="C73" s="245" t="str">
        <f>"D.   Determine FCR with hypothetical "&amp;F13&amp;" basis point ROE increase."</f>
        <v>D.   Determine FCR with hypothetical 0 basis point ROE increase.</v>
      </c>
      <c r="D73" s="241"/>
      <c r="E73" s="233"/>
      <c r="F73" s="233"/>
      <c r="G73" s="233"/>
      <c r="H73" s="233"/>
      <c r="I73" s="217"/>
      <c r="J73" s="233"/>
      <c r="K73" s="243"/>
      <c r="L73" s="233"/>
      <c r="M73" s="233"/>
      <c r="N73" s="233"/>
      <c r="O73" s="233"/>
      <c r="P73" s="233"/>
      <c r="Q73" s="243"/>
      <c r="R73" s="243"/>
      <c r="S73" s="233"/>
    </row>
    <row r="74" spans="2:19">
      <c r="B74" s="233"/>
      <c r="C74" s="233"/>
      <c r="D74" s="241"/>
      <c r="E74" s="233"/>
      <c r="F74" s="233"/>
      <c r="G74" s="233"/>
      <c r="H74" s="233"/>
      <c r="I74" s="242"/>
      <c r="J74" s="233"/>
      <c r="K74" s="243"/>
      <c r="L74" s="233"/>
      <c r="M74" s="233"/>
      <c r="N74" s="233"/>
      <c r="O74" s="233"/>
      <c r="P74" s="233"/>
      <c r="Q74" s="243"/>
      <c r="R74" s="243"/>
      <c r="S74" s="233"/>
    </row>
    <row r="75" spans="2:19">
      <c r="B75" s="233"/>
      <c r="C75" s="306" t="str">
        <f>S123</f>
        <v xml:space="preserve">   Net Transmission Plant  (True-Up TCOS, ln 39)</v>
      </c>
      <c r="D75" s="241"/>
      <c r="E75" s="233"/>
      <c r="F75" s="297">
        <f>R123</f>
        <v>696124032.64692307</v>
      </c>
      <c r="G75" s="297"/>
      <c r="I75" s="217"/>
      <c r="J75" s="233"/>
      <c r="K75" s="243"/>
      <c r="L75" s="233"/>
      <c r="M75" s="233"/>
      <c r="N75" s="233"/>
      <c r="O75" s="233"/>
      <c r="P75" s="233"/>
      <c r="Q75" s="243"/>
      <c r="R75" s="243"/>
      <c r="S75" s="233"/>
    </row>
    <row r="76" spans="2:19" ht="15">
      <c r="B76" s="233"/>
      <c r="C76" s="312" t="str">
        <f>"   Net Revenue Requirement, with "&amp;F13&amp;" Basis Point ROE increase"</f>
        <v xml:space="preserve">   Net Revenue Requirement, with 0 Basis Point ROE increase</v>
      </c>
      <c r="D76" s="241"/>
      <c r="E76" s="233"/>
      <c r="F76" s="400">
        <f>+F57</f>
        <v>101516645.54722711</v>
      </c>
      <c r="G76" s="400"/>
      <c r="I76" s="217"/>
      <c r="J76" s="233"/>
      <c r="K76" s="243"/>
      <c r="L76" s="233"/>
      <c r="M76" s="233"/>
      <c r="N76" s="233"/>
      <c r="O76" s="233"/>
      <c r="P76" s="233"/>
      <c r="Q76" s="243"/>
      <c r="R76" s="243"/>
      <c r="S76" s="233"/>
    </row>
    <row r="77" spans="2:19">
      <c r="B77" s="233"/>
      <c r="C77" s="312" t="str">
        <f>"   FCR with "&amp;F13&amp;" Basis Point increase in ROE"</f>
        <v xml:space="preserve">   FCR with 0 Basis Point increase in ROE</v>
      </c>
      <c r="D77" s="241"/>
      <c r="E77" s="233"/>
      <c r="F77" s="339">
        <f>IF(F75=0,0,F76/F75)</f>
        <v>0.14583126107745911</v>
      </c>
      <c r="G77" s="339"/>
      <c r="I77" s="217"/>
      <c r="J77" s="233"/>
      <c r="K77" s="243"/>
      <c r="L77" s="233"/>
      <c r="M77" s="233"/>
      <c r="N77" s="233"/>
      <c r="O77" s="233"/>
      <c r="P77" s="233"/>
      <c r="Q77" s="243"/>
      <c r="R77" s="243"/>
      <c r="S77" s="233"/>
    </row>
    <row r="78" spans="2:19">
      <c r="B78" s="233"/>
      <c r="D78" s="241"/>
      <c r="E78" s="233"/>
      <c r="F78" s="330"/>
      <c r="G78" s="330"/>
      <c r="H78" s="401"/>
      <c r="I78" s="217"/>
      <c r="J78" s="233"/>
      <c r="K78" s="243"/>
      <c r="L78" s="233"/>
      <c r="M78" s="233"/>
      <c r="N78" s="233"/>
      <c r="O78" s="233"/>
      <c r="P78" s="233"/>
      <c r="Q78" s="243"/>
      <c r="R78" s="243"/>
      <c r="S78" s="233"/>
    </row>
    <row r="79" spans="2:19">
      <c r="B79" s="233"/>
      <c r="C79" s="312" t="str">
        <f>"   Net Rev. Req, w / "&amp;F13&amp;" Basis Point ROE increase, less Dep."</f>
        <v xml:space="preserve">   Net Rev. Req, w / 0 Basis Point ROE increase, less Dep.</v>
      </c>
      <c r="D79" s="241"/>
      <c r="E79" s="233"/>
      <c r="F79" s="297">
        <f>+F59</f>
        <v>79213897.971219286</v>
      </c>
      <c r="G79" s="297"/>
      <c r="I79" s="217"/>
      <c r="J79" s="233"/>
      <c r="K79" s="243"/>
      <c r="L79" s="233"/>
      <c r="M79" s="233"/>
      <c r="N79" s="233"/>
      <c r="O79" s="233"/>
      <c r="P79" s="233"/>
      <c r="Q79" s="243"/>
      <c r="R79" s="243"/>
      <c r="S79" s="233"/>
    </row>
    <row r="80" spans="2:19">
      <c r="B80" s="233"/>
      <c r="C80" s="312" t="str">
        <f>"   FCR with "&amp;F13&amp;" Basis Point ROE increase, less Depreciation"</f>
        <v xml:space="preserve">   FCR with 0 Basis Point ROE increase, less Depreciation</v>
      </c>
      <c r="D80" s="241"/>
      <c r="E80" s="233"/>
      <c r="F80" s="339">
        <f>IF(F75=0,0,F79/F75)</f>
        <v>0.11379279303146383</v>
      </c>
      <c r="G80" s="339"/>
      <c r="H80" s="246"/>
      <c r="I80" s="217"/>
      <c r="J80" s="233"/>
      <c r="K80" s="243"/>
      <c r="L80" s="233"/>
      <c r="M80" s="233"/>
      <c r="N80" s="233"/>
      <c r="O80" s="233"/>
      <c r="P80" s="233"/>
      <c r="Q80" s="243"/>
      <c r="R80" s="243"/>
      <c r="S80" s="233"/>
    </row>
    <row r="81" spans="2:19">
      <c r="B81" s="233"/>
      <c r="C81" s="306" t="str">
        <f>S124</f>
        <v xml:space="preserve">   FCR less Depreciation  (True-Up TCOS, ln 12)</v>
      </c>
      <c r="D81" s="241"/>
      <c r="E81" s="233"/>
      <c r="F81" s="340">
        <f>R124</f>
        <v>0.11379279303146381</v>
      </c>
      <c r="G81" s="340"/>
      <c r="H81" s="402"/>
      <c r="I81" s="217"/>
      <c r="J81" s="233"/>
      <c r="K81" s="243"/>
      <c r="L81" s="233"/>
      <c r="M81" s="233"/>
      <c r="N81" s="233"/>
      <c r="O81" s="233"/>
      <c r="P81" s="233"/>
      <c r="Q81" s="243"/>
      <c r="R81" s="243"/>
      <c r="S81" s="233"/>
    </row>
    <row r="82" spans="2:19">
      <c r="B82" s="233"/>
      <c r="C82" s="312" t="str">
        <f>"   Incremental FCR with "&amp;F13&amp;" Basis Point ROE increase, less Depreciation"</f>
        <v xml:space="preserve">   Incremental FCR with 0 Basis Point ROE increase, less Depreciation</v>
      </c>
      <c r="D82" s="241"/>
      <c r="E82" s="233"/>
      <c r="F82" s="339">
        <f>F80-F81</f>
        <v>0</v>
      </c>
      <c r="G82" s="339"/>
      <c r="I82" s="217"/>
      <c r="J82" s="233"/>
      <c r="K82" s="243"/>
      <c r="L82" s="233"/>
      <c r="M82" s="233"/>
      <c r="N82" s="233"/>
      <c r="O82" s="233"/>
      <c r="P82" s="233"/>
      <c r="Q82" s="243"/>
      <c r="R82" s="243"/>
      <c r="S82" s="233"/>
    </row>
    <row r="83" spans="2:19">
      <c r="B83" s="233"/>
      <c r="C83" s="312"/>
      <c r="D83" s="241"/>
      <c r="E83" s="233"/>
      <c r="F83" s="339"/>
      <c r="G83" s="339"/>
      <c r="H83" s="233"/>
      <c r="I83" s="242"/>
      <c r="J83" s="233"/>
      <c r="K83" s="243"/>
      <c r="L83" s="233"/>
      <c r="M83" s="233"/>
      <c r="N83" s="233"/>
      <c r="O83" s="233"/>
      <c r="P83" s="233"/>
      <c r="Q83" s="243"/>
      <c r="R83" s="243"/>
      <c r="S83" s="233"/>
    </row>
    <row r="84" spans="2:19" ht="18.75">
      <c r="B84" s="303" t="s">
        <v>35</v>
      </c>
      <c r="C84" s="304" t="s">
        <v>36</v>
      </c>
      <c r="D84" s="241"/>
      <c r="E84" s="233"/>
      <c r="F84" s="339"/>
      <c r="G84" s="339"/>
      <c r="H84" s="233"/>
      <c r="I84" s="242"/>
      <c r="J84" s="233"/>
      <c r="K84" s="243"/>
      <c r="L84" s="233"/>
      <c r="M84" s="233"/>
      <c r="N84" s="233"/>
      <c r="O84" s="233"/>
      <c r="P84" s="233"/>
      <c r="Q84" s="243"/>
      <c r="R84" s="243"/>
      <c r="S84" s="233"/>
    </row>
    <row r="85" spans="2:19" ht="12.75" customHeight="1">
      <c r="B85" s="303"/>
      <c r="C85" s="304"/>
      <c r="D85" s="241"/>
      <c r="E85" s="233"/>
      <c r="F85" s="339"/>
      <c r="G85" s="339"/>
      <c r="H85" s="233"/>
      <c r="I85" s="242"/>
      <c r="J85" s="233"/>
      <c r="K85" s="243"/>
      <c r="L85" s="233"/>
      <c r="M85" s="233"/>
      <c r="N85" s="233"/>
      <c r="O85" s="233"/>
      <c r="P85" s="233"/>
      <c r="Q85" s="243"/>
      <c r="R85" s="243"/>
      <c r="S85" s="233"/>
    </row>
    <row r="86" spans="2:19" ht="12.75" customHeight="1">
      <c r="B86" s="303"/>
      <c r="C86" s="312" t="s">
        <v>37</v>
      </c>
      <c r="D86" s="241"/>
      <c r="F86" s="334">
        <f>R125</f>
        <v>1069907872</v>
      </c>
      <c r="G86" s="233" t="s">
        <v>283</v>
      </c>
      <c r="I86" s="242"/>
      <c r="J86" s="233"/>
      <c r="K86" s="243"/>
      <c r="L86" s="233"/>
      <c r="M86" s="233"/>
      <c r="N86" s="233"/>
      <c r="O86" s="233"/>
      <c r="P86" s="233"/>
      <c r="Q86" s="243"/>
      <c r="R86" s="243"/>
      <c r="S86" s="233"/>
    </row>
    <row r="87" spans="2:19" ht="12.75" customHeight="1">
      <c r="B87" s="303"/>
      <c r="C87" s="312" t="s">
        <v>38</v>
      </c>
      <c r="D87" s="241"/>
      <c r="F87" s="341">
        <f>R126</f>
        <v>1107616715</v>
      </c>
      <c r="G87" s="233" t="s">
        <v>283</v>
      </c>
      <c r="I87" s="242"/>
      <c r="J87" s="233"/>
      <c r="K87" s="243"/>
      <c r="L87" s="233"/>
      <c r="M87" s="233"/>
      <c r="N87" s="233"/>
      <c r="O87" s="233"/>
      <c r="P87" s="233"/>
      <c r="Q87" s="243"/>
      <c r="R87" s="243"/>
      <c r="S87" s="233"/>
    </row>
    <row r="88" spans="2:19" ht="12.75" customHeight="1">
      <c r="B88" s="303"/>
      <c r="C88" s="312"/>
      <c r="D88" s="241"/>
      <c r="F88" s="242">
        <f>+F87+F86</f>
        <v>2177524587</v>
      </c>
      <c r="G88" s="242"/>
      <c r="H88" s="233"/>
      <c r="I88" s="242"/>
      <c r="J88" s="233"/>
      <c r="K88" s="243"/>
      <c r="L88" s="233"/>
      <c r="M88" s="233"/>
      <c r="N88" s="233"/>
      <c r="O88" s="233"/>
      <c r="P88" s="233"/>
      <c r="Q88" s="243"/>
      <c r="R88" s="243"/>
      <c r="S88" s="233"/>
    </row>
    <row r="89" spans="2:19">
      <c r="B89" s="233"/>
      <c r="C89" s="312" t="str">
        <f>+S127</f>
        <v>Transmission Plant Average Balance for 2018</v>
      </c>
      <c r="D89" s="296"/>
      <c r="E89" s="155"/>
      <c r="F89" s="323">
        <f>+F88/2</f>
        <v>1088762293.5</v>
      </c>
      <c r="G89" s="323"/>
      <c r="I89" s="242"/>
      <c r="J89" s="233"/>
      <c r="K89" s="243"/>
      <c r="L89" s="233"/>
      <c r="M89" s="233"/>
      <c r="N89" s="233"/>
      <c r="O89" s="233"/>
      <c r="P89" s="233"/>
      <c r="Q89" s="243"/>
      <c r="R89" s="243"/>
      <c r="S89" s="233"/>
    </row>
    <row r="90" spans="2:19">
      <c r="B90" s="233"/>
      <c r="C90" s="248" t="str">
        <f>S128</f>
        <v>Annual Depreciation Expense  (True-Up TCOS, ln 82)</v>
      </c>
      <c r="D90" s="296"/>
      <c r="E90" s="330"/>
      <c r="F90" s="323">
        <f>R128</f>
        <v>26836591</v>
      </c>
      <c r="G90" s="323"/>
      <c r="I90" s="242"/>
      <c r="J90" s="233"/>
      <c r="K90" s="243"/>
      <c r="L90" s="233"/>
      <c r="M90" s="233"/>
      <c r="N90" s="233"/>
      <c r="O90" s="233"/>
      <c r="P90" s="233"/>
      <c r="Q90" s="243"/>
      <c r="R90" s="243"/>
      <c r="S90" s="233"/>
    </row>
    <row r="91" spans="2:19">
      <c r="B91" s="233"/>
      <c r="C91" s="312" t="s">
        <v>39</v>
      </c>
      <c r="D91" s="241"/>
      <c r="E91" s="233"/>
      <c r="F91" s="339">
        <f>IF(F89=0,0,F90/F89)</f>
        <v>2.4648714563515511E-2</v>
      </c>
      <c r="G91" s="339"/>
      <c r="H91" s="233"/>
      <c r="I91" s="343"/>
      <c r="J91" s="233"/>
      <c r="K91" s="243"/>
      <c r="L91" s="233"/>
      <c r="M91" s="233"/>
      <c r="N91" s="233"/>
      <c r="O91" s="233"/>
      <c r="P91" s="233"/>
      <c r="Q91" s="243"/>
      <c r="R91" s="243"/>
      <c r="S91" s="233"/>
    </row>
    <row r="92" spans="2:19">
      <c r="B92" s="233"/>
      <c r="C92" s="312" t="s">
        <v>40</v>
      </c>
      <c r="D92" s="241"/>
      <c r="E92" s="233"/>
      <c r="F92" s="344">
        <f>IF(F91=0,0,1/F91)</f>
        <v>40.570066947027662</v>
      </c>
      <c r="G92" s="344"/>
      <c r="H92" s="233"/>
      <c r="I92" s="242"/>
      <c r="J92" s="233"/>
      <c r="K92" s="243"/>
      <c r="L92" s="233"/>
      <c r="M92" s="233"/>
      <c r="N92" s="233"/>
      <c r="O92" s="233"/>
      <c r="P92" s="233"/>
      <c r="Q92" s="243"/>
      <c r="R92" s="243"/>
      <c r="S92" s="233"/>
    </row>
    <row r="93" spans="2:19">
      <c r="B93" s="233"/>
      <c r="C93" s="312" t="s">
        <v>41</v>
      </c>
      <c r="D93" s="241"/>
      <c r="E93" s="233"/>
      <c r="F93" s="345">
        <f>ROUND(F92,0)</f>
        <v>41</v>
      </c>
      <c r="G93" s="345"/>
      <c r="H93" s="233"/>
      <c r="I93" s="242"/>
      <c r="J93" s="233"/>
      <c r="K93" s="243"/>
      <c r="L93" s="233"/>
      <c r="M93" s="233"/>
      <c r="N93" s="233"/>
      <c r="O93" s="233"/>
      <c r="P93" s="233"/>
      <c r="Q93" s="243"/>
      <c r="R93" s="243"/>
      <c r="S93" s="233"/>
    </row>
    <row r="94" spans="2:19">
      <c r="B94" s="233"/>
      <c r="C94" s="312"/>
      <c r="D94" s="241"/>
      <c r="E94" s="233"/>
      <c r="F94" s="345"/>
      <c r="G94" s="345"/>
      <c r="H94" s="233"/>
      <c r="I94" s="242"/>
      <c r="J94" s="233"/>
      <c r="K94" s="243"/>
      <c r="L94" s="233"/>
      <c r="M94" s="233"/>
      <c r="N94" s="233"/>
      <c r="O94" s="233"/>
      <c r="P94" s="233"/>
      <c r="Q94" s="243"/>
      <c r="R94" s="243"/>
      <c r="S94" s="233"/>
    </row>
    <row r="95" spans="2:19">
      <c r="B95" s="233"/>
      <c r="C95" s="312"/>
      <c r="D95" s="241"/>
      <c r="E95" s="233"/>
      <c r="F95" s="345"/>
      <c r="G95" s="345"/>
      <c r="H95" s="233"/>
      <c r="I95" s="242"/>
      <c r="J95" s="233"/>
      <c r="K95" s="243"/>
      <c r="L95" s="233"/>
      <c r="M95" s="233"/>
      <c r="N95" s="233"/>
      <c r="O95" s="233"/>
      <c r="P95" s="233"/>
      <c r="Q95" s="243"/>
      <c r="R95" s="243"/>
      <c r="S95" s="233"/>
    </row>
    <row r="96" spans="2:19">
      <c r="B96" s="233"/>
      <c r="C96" s="312"/>
      <c r="D96" s="241"/>
      <c r="E96" s="233"/>
      <c r="F96" s="345"/>
      <c r="G96" s="345"/>
      <c r="H96" s="233"/>
      <c r="I96" s="242"/>
      <c r="J96" s="233"/>
      <c r="K96" s="243"/>
      <c r="L96" s="233"/>
      <c r="M96" s="233"/>
      <c r="N96" s="233"/>
      <c r="O96" s="233"/>
      <c r="P96" s="233"/>
      <c r="Q96" s="243"/>
      <c r="R96" s="243"/>
      <c r="S96" s="233"/>
    </row>
    <row r="97" spans="3:19">
      <c r="C97" s="233"/>
      <c r="D97" s="241"/>
      <c r="E97" s="233"/>
      <c r="F97" s="233"/>
      <c r="G97" s="233"/>
      <c r="H97" s="233"/>
      <c r="I97" s="242"/>
      <c r="J97" s="233"/>
      <c r="K97" s="243"/>
      <c r="L97" s="233"/>
      <c r="M97" s="233"/>
      <c r="N97" s="233"/>
      <c r="O97" s="233"/>
      <c r="P97" s="233"/>
      <c r="Q97" s="243"/>
      <c r="R97" s="350" t="s">
        <v>126</v>
      </c>
      <c r="S97" s="234" t="s">
        <v>132</v>
      </c>
    </row>
    <row r="98" spans="3:19">
      <c r="C98" s="233"/>
      <c r="D98" s="241"/>
      <c r="E98" s="233"/>
      <c r="F98" s="233"/>
      <c r="G98" s="233"/>
      <c r="H98" s="233"/>
      <c r="I98" s="242"/>
      <c r="J98" s="233"/>
      <c r="K98" s="243"/>
      <c r="L98" s="233"/>
      <c r="M98" s="233"/>
      <c r="N98" s="233"/>
      <c r="O98" s="233"/>
      <c r="P98" s="233"/>
      <c r="Q98" s="243"/>
    </row>
    <row r="99" spans="3:19">
      <c r="C99" s="240" t="s">
        <v>122</v>
      </c>
      <c r="J99" s="195"/>
      <c r="L99" s="240" t="s">
        <v>121</v>
      </c>
      <c r="N99" s="233"/>
      <c r="O99" s="233"/>
      <c r="P99" s="233"/>
      <c r="Q99" s="243"/>
    </row>
    <row r="100" spans="3:19">
      <c r="C100" s="233"/>
      <c r="D100" s="241"/>
      <c r="E100" s="233"/>
      <c r="F100" s="233"/>
      <c r="G100" s="233"/>
      <c r="H100" s="233"/>
      <c r="I100" s="242"/>
      <c r="J100" s="233"/>
      <c r="K100" s="243"/>
      <c r="L100" s="233"/>
      <c r="M100" s="233"/>
      <c r="N100" s="233"/>
      <c r="O100" s="233"/>
      <c r="P100" s="233"/>
      <c r="Q100" s="243"/>
      <c r="S100" s="234" t="s">
        <v>119</v>
      </c>
    </row>
    <row r="101" spans="3:19">
      <c r="C101" s="233"/>
      <c r="D101" s="241"/>
      <c r="E101" s="233"/>
      <c r="F101" s="233"/>
      <c r="G101" s="233"/>
      <c r="H101" s="233"/>
      <c r="I101" s="242"/>
      <c r="J101" s="233"/>
      <c r="K101" s="243"/>
      <c r="L101" s="233"/>
      <c r="M101" s="233"/>
      <c r="N101" s="233"/>
      <c r="O101" s="233"/>
      <c r="P101" s="233"/>
      <c r="Q101" s="243"/>
      <c r="R101" s="350" t="s">
        <v>115</v>
      </c>
      <c r="S101" s="204" t="s">
        <v>135</v>
      </c>
    </row>
    <row r="102" spans="3:19" ht="13.5" thickBot="1">
      <c r="C102" s="233"/>
      <c r="D102" s="241"/>
      <c r="E102" s="233"/>
      <c r="F102" s="233"/>
      <c r="G102" s="233"/>
      <c r="H102" s="233"/>
      <c r="I102" s="242"/>
      <c r="J102" s="233"/>
      <c r="K102" s="243"/>
      <c r="L102" s="233"/>
      <c r="M102" s="233"/>
      <c r="N102" s="233"/>
      <c r="O102" s="233"/>
      <c r="P102" s="233"/>
      <c r="Q102" s="243"/>
      <c r="R102" s="351" t="s">
        <v>227</v>
      </c>
    </row>
    <row r="103" spans="3:19">
      <c r="C103" s="233"/>
      <c r="D103" s="241"/>
      <c r="E103" s="233"/>
      <c r="F103" s="233"/>
      <c r="G103" s="233"/>
      <c r="H103" s="233"/>
      <c r="I103" s="242"/>
      <c r="J103" s="233"/>
      <c r="K103" s="243"/>
      <c r="L103" s="233"/>
      <c r="M103" s="233"/>
      <c r="N103" s="233"/>
      <c r="O103" s="233"/>
      <c r="P103" s="233"/>
      <c r="Q103" s="243"/>
      <c r="R103" s="403" t="s">
        <v>212</v>
      </c>
      <c r="S103" s="404" t="s">
        <v>143</v>
      </c>
    </row>
    <row r="104" spans="3:19">
      <c r="C104" s="233"/>
      <c r="D104" s="241"/>
      <c r="E104" s="233"/>
      <c r="F104" s="233"/>
      <c r="G104" s="233"/>
      <c r="H104" s="233"/>
      <c r="I104" s="242"/>
      <c r="J104" s="233"/>
      <c r="K104" s="243"/>
      <c r="L104" s="233"/>
      <c r="M104" s="233"/>
      <c r="N104" s="233"/>
      <c r="O104" s="233"/>
      <c r="P104" s="233"/>
      <c r="Q104" s="243"/>
      <c r="R104" s="405">
        <v>2021</v>
      </c>
      <c r="S104" s="273" t="s">
        <v>94</v>
      </c>
    </row>
    <row r="105" spans="3:19">
      <c r="C105" s="233"/>
      <c r="D105" s="241"/>
      <c r="E105" s="233"/>
      <c r="F105" s="233"/>
      <c r="G105" s="233"/>
      <c r="H105" s="233"/>
      <c r="I105" s="242"/>
      <c r="J105" s="233"/>
      <c r="K105" s="243"/>
      <c r="L105" s="233"/>
      <c r="M105" s="233"/>
      <c r="N105" s="233"/>
      <c r="O105" s="233"/>
      <c r="P105" s="233"/>
      <c r="Q105" s="243"/>
      <c r="R105" s="406">
        <v>0.105</v>
      </c>
      <c r="S105" s="355" t="s">
        <v>314</v>
      </c>
    </row>
    <row r="106" spans="3:19">
      <c r="C106" s="233"/>
      <c r="D106" s="241"/>
      <c r="E106" s="233"/>
      <c r="F106" s="233"/>
      <c r="G106" s="233"/>
      <c r="H106" s="233"/>
      <c r="I106" s="242"/>
      <c r="J106" s="233"/>
      <c r="K106" s="243"/>
      <c r="L106" s="233"/>
      <c r="M106" s="233"/>
      <c r="N106" s="233"/>
      <c r="O106" s="233"/>
      <c r="P106" s="233"/>
      <c r="Q106" s="243"/>
      <c r="R106" s="407">
        <v>0</v>
      </c>
      <c r="S106" s="355" t="s">
        <v>1</v>
      </c>
    </row>
    <row r="107" spans="3:19">
      <c r="C107" s="233"/>
      <c r="D107" s="241"/>
      <c r="E107" s="233"/>
      <c r="F107" s="233"/>
      <c r="G107" s="233"/>
      <c r="H107" s="233"/>
      <c r="I107" s="242"/>
      <c r="J107" s="233"/>
      <c r="K107" s="243"/>
      <c r="L107" s="233"/>
      <c r="M107" s="233"/>
      <c r="N107" s="233"/>
      <c r="O107" s="233"/>
      <c r="P107" s="233"/>
      <c r="Q107" s="243"/>
      <c r="R107" s="406">
        <v>0.45612323681704114</v>
      </c>
      <c r="S107" s="359" t="s">
        <v>109</v>
      </c>
    </row>
    <row r="108" spans="3:19">
      <c r="C108" s="233"/>
      <c r="D108" s="241"/>
      <c r="E108" s="233"/>
      <c r="F108" s="233"/>
      <c r="G108" s="233"/>
      <c r="H108" s="233"/>
      <c r="I108" s="242"/>
      <c r="J108" s="233"/>
      <c r="K108" s="243"/>
      <c r="L108" s="233"/>
      <c r="M108" s="233"/>
      <c r="N108" s="233"/>
      <c r="O108" s="233"/>
      <c r="P108" s="233"/>
      <c r="Q108" s="243"/>
      <c r="R108" s="408">
        <v>3.4943152329142656E-2</v>
      </c>
      <c r="S108" s="359" t="s">
        <v>110</v>
      </c>
    </row>
    <row r="109" spans="3:19">
      <c r="C109" s="233"/>
      <c r="D109" s="241"/>
      <c r="E109" s="233"/>
      <c r="F109" s="233"/>
      <c r="G109" s="233"/>
      <c r="H109" s="233"/>
      <c r="I109" s="242"/>
      <c r="J109" s="233"/>
      <c r="K109" s="243"/>
      <c r="L109" s="233"/>
      <c r="M109" s="233"/>
      <c r="N109" s="233"/>
      <c r="O109" s="233"/>
      <c r="P109" s="233"/>
      <c r="Q109" s="243"/>
      <c r="R109" s="406">
        <v>0</v>
      </c>
      <c r="S109" s="359" t="s">
        <v>111</v>
      </c>
    </row>
    <row r="110" spans="3:19">
      <c r="C110" s="233"/>
      <c r="D110" s="241"/>
      <c r="E110" s="233"/>
      <c r="F110" s="233"/>
      <c r="G110" s="233"/>
      <c r="H110" s="233"/>
      <c r="I110" s="242"/>
      <c r="J110" s="233"/>
      <c r="K110" s="243"/>
      <c r="L110" s="233"/>
      <c r="M110" s="233"/>
      <c r="N110" s="233"/>
      <c r="O110" s="233"/>
      <c r="P110" s="233"/>
      <c r="Q110" s="243"/>
      <c r="R110" s="408">
        <v>0</v>
      </c>
      <c r="S110" s="359" t="s">
        <v>112</v>
      </c>
    </row>
    <row r="111" spans="3:19">
      <c r="C111" s="233"/>
      <c r="D111" s="241"/>
      <c r="E111" s="233"/>
      <c r="F111" s="233"/>
      <c r="G111" s="233"/>
      <c r="H111" s="233"/>
      <c r="I111" s="242"/>
      <c r="J111" s="233"/>
      <c r="K111" s="243"/>
      <c r="L111" s="233"/>
      <c r="M111" s="233"/>
      <c r="N111" s="233"/>
      <c r="O111" s="233"/>
      <c r="P111" s="233"/>
      <c r="Q111" s="243"/>
      <c r="R111" s="406">
        <v>0.54387676318295886</v>
      </c>
      <c r="S111" s="360" t="s">
        <v>113</v>
      </c>
    </row>
    <row r="112" spans="3:19">
      <c r="C112" s="233"/>
      <c r="D112" s="241"/>
      <c r="E112" s="233"/>
      <c r="F112" s="233"/>
      <c r="G112" s="233"/>
      <c r="H112" s="233"/>
      <c r="I112" s="242"/>
      <c r="J112" s="233"/>
      <c r="K112" s="243"/>
      <c r="L112" s="233"/>
      <c r="M112" s="233"/>
      <c r="N112" s="233"/>
      <c r="O112" s="233"/>
      <c r="P112" s="233"/>
      <c r="Q112" s="243"/>
      <c r="R112" s="361">
        <v>576614540.62033641</v>
      </c>
      <c r="S112" s="409" t="s">
        <v>232</v>
      </c>
    </row>
    <row r="113" spans="3:19">
      <c r="C113" s="233"/>
      <c r="D113" s="241"/>
      <c r="E113" s="233"/>
      <c r="F113" s="233"/>
      <c r="G113" s="233"/>
      <c r="H113" s="233"/>
      <c r="I113" s="242"/>
      <c r="J113" s="233"/>
      <c r="K113" s="243"/>
      <c r="L113" s="233"/>
      <c r="M113" s="233"/>
      <c r="N113" s="233"/>
      <c r="O113" s="233"/>
      <c r="P113" s="233"/>
      <c r="Q113" s="243"/>
      <c r="R113" s="363">
        <v>0.25321299999999991</v>
      </c>
      <c r="S113" s="410" t="s">
        <v>315</v>
      </c>
    </row>
    <row r="114" spans="3:19">
      <c r="C114" s="233"/>
      <c r="D114" s="241"/>
      <c r="E114" s="233"/>
      <c r="F114" s="233"/>
      <c r="G114" s="233"/>
      <c r="H114" s="233"/>
      <c r="I114" s="242"/>
      <c r="J114" s="233"/>
      <c r="K114" s="243"/>
      <c r="L114" s="233"/>
      <c r="M114" s="233"/>
      <c r="N114" s="233"/>
      <c r="O114" s="233"/>
      <c r="P114" s="233"/>
      <c r="Q114" s="243"/>
      <c r="R114" s="361">
        <v>-397904.12505828106</v>
      </c>
      <c r="S114" s="410" t="s">
        <v>316</v>
      </c>
    </row>
    <row r="115" spans="3:19">
      <c r="C115" s="233"/>
      <c r="D115" s="241"/>
      <c r="E115" s="233"/>
      <c r="F115" s="233"/>
      <c r="G115" s="233"/>
      <c r="H115" s="233"/>
      <c r="I115" s="242"/>
      <c r="J115" s="233"/>
      <c r="K115" s="243"/>
      <c r="L115" s="233"/>
      <c r="M115" s="233"/>
      <c r="N115" s="233"/>
      <c r="O115" s="233"/>
      <c r="P115" s="233"/>
      <c r="Q115" s="243"/>
      <c r="R115" s="361">
        <v>-4796610.6158784227</v>
      </c>
      <c r="S115" s="411" t="s">
        <v>327</v>
      </c>
    </row>
    <row r="116" spans="3:19">
      <c r="C116" s="233"/>
      <c r="D116" s="241"/>
      <c r="E116" s="233"/>
      <c r="F116" s="233"/>
      <c r="G116" s="233"/>
      <c r="H116" s="233"/>
      <c r="I116" s="242"/>
      <c r="J116" s="233"/>
      <c r="K116" s="243"/>
      <c r="L116" s="233"/>
      <c r="M116" s="233"/>
      <c r="N116" s="233"/>
      <c r="O116" s="233"/>
      <c r="P116" s="233"/>
      <c r="Q116" s="243"/>
      <c r="R116" s="361">
        <v>72099.192942565947</v>
      </c>
      <c r="S116" s="411" t="s">
        <v>328</v>
      </c>
    </row>
    <row r="117" spans="3:19">
      <c r="C117" s="233"/>
      <c r="D117" s="241"/>
      <c r="E117" s="233"/>
      <c r="F117" s="233"/>
      <c r="G117" s="233"/>
      <c r="H117" s="233"/>
      <c r="I117" s="242"/>
      <c r="J117" s="233"/>
      <c r="K117" s="243"/>
      <c r="L117" s="233"/>
      <c r="M117" s="233"/>
      <c r="N117" s="233"/>
      <c r="O117" s="233"/>
      <c r="P117" s="233"/>
      <c r="Q117" s="243"/>
      <c r="R117" s="361">
        <v>101516645.5472271</v>
      </c>
      <c r="S117" s="410" t="s">
        <v>317</v>
      </c>
    </row>
    <row r="118" spans="3:19">
      <c r="C118" s="233"/>
      <c r="D118" s="241"/>
      <c r="E118" s="233"/>
      <c r="F118" s="233"/>
      <c r="G118" s="233"/>
      <c r="H118" s="233"/>
      <c r="I118" s="242"/>
      <c r="J118" s="233"/>
      <c r="K118" s="243"/>
      <c r="L118" s="233"/>
      <c r="M118" s="233"/>
      <c r="N118" s="233"/>
      <c r="O118" s="233"/>
      <c r="P118" s="233"/>
      <c r="Q118" s="243"/>
      <c r="R118" s="361">
        <v>42119065.066796266</v>
      </c>
      <c r="S118" s="410" t="s">
        <v>318</v>
      </c>
    </row>
    <row r="119" spans="3:19">
      <c r="C119" s="233"/>
      <c r="D119" s="241"/>
      <c r="E119" s="233"/>
      <c r="F119" s="233"/>
      <c r="G119" s="233"/>
      <c r="H119" s="233"/>
      <c r="I119" s="242"/>
      <c r="J119" s="233"/>
      <c r="K119" s="243"/>
      <c r="L119" s="233"/>
      <c r="M119" s="233"/>
      <c r="N119" s="233"/>
      <c r="O119" s="233"/>
      <c r="P119" s="233"/>
      <c r="Q119" s="243"/>
      <c r="R119" s="361">
        <v>6042736.5251513943</v>
      </c>
      <c r="S119" s="410" t="s">
        <v>319</v>
      </c>
    </row>
    <row r="120" spans="3:19">
      <c r="C120" s="233"/>
      <c r="D120" s="241"/>
      <c r="E120" s="233"/>
      <c r="F120" s="233"/>
      <c r="G120" s="233"/>
      <c r="H120" s="233"/>
      <c r="I120" s="242"/>
      <c r="J120" s="233"/>
      <c r="K120" s="243"/>
      <c r="L120" s="233"/>
      <c r="M120" s="233"/>
      <c r="N120" s="233"/>
      <c r="O120" s="233"/>
      <c r="P120" s="233"/>
      <c r="Q120" s="243"/>
      <c r="R120" s="361">
        <v>0</v>
      </c>
      <c r="S120" s="410" t="s">
        <v>320</v>
      </c>
    </row>
    <row r="121" spans="3:19">
      <c r="C121" s="233"/>
      <c r="D121" s="241"/>
      <c r="E121" s="233"/>
      <c r="F121" s="233"/>
      <c r="G121" s="233"/>
      <c r="H121" s="233"/>
      <c r="I121" s="242"/>
      <c r="J121" s="233"/>
      <c r="K121" s="243"/>
      <c r="L121" s="233"/>
      <c r="M121" s="233"/>
      <c r="N121" s="233"/>
      <c r="O121" s="233"/>
      <c r="P121" s="233"/>
      <c r="Q121" s="243"/>
      <c r="R121" s="361">
        <v>22302747.576007824</v>
      </c>
      <c r="S121" s="410" t="s">
        <v>321</v>
      </c>
    </row>
    <row r="122" spans="3:19">
      <c r="C122" s="233"/>
      <c r="D122" s="241"/>
      <c r="E122" s="233"/>
      <c r="F122" s="233"/>
      <c r="G122" s="233"/>
      <c r="H122" s="233"/>
      <c r="I122" s="242"/>
      <c r="J122" s="233"/>
      <c r="K122" s="243"/>
      <c r="L122" s="233"/>
      <c r="M122" s="233"/>
      <c r="N122" s="233"/>
      <c r="O122" s="233"/>
      <c r="P122" s="233"/>
      <c r="Q122" s="243"/>
      <c r="R122" s="363">
        <v>0</v>
      </c>
      <c r="S122" s="410" t="s">
        <v>118</v>
      </c>
    </row>
    <row r="123" spans="3:19">
      <c r="C123" s="233"/>
      <c r="D123" s="241"/>
      <c r="E123" s="233"/>
      <c r="F123" s="233"/>
      <c r="G123" s="233"/>
      <c r="H123" s="233"/>
      <c r="I123" s="242"/>
      <c r="J123" s="233"/>
      <c r="K123" s="243"/>
      <c r="L123" s="233"/>
      <c r="M123" s="233"/>
      <c r="N123" s="233"/>
      <c r="O123" s="233"/>
      <c r="P123" s="233"/>
      <c r="Q123" s="243"/>
      <c r="R123" s="361">
        <v>696124032.64692307</v>
      </c>
      <c r="S123" s="410" t="s">
        <v>233</v>
      </c>
    </row>
    <row r="124" spans="3:19">
      <c r="C124" s="233"/>
      <c r="D124" s="241"/>
      <c r="E124" s="233"/>
      <c r="F124" s="233"/>
      <c r="G124" s="233"/>
      <c r="H124" s="233"/>
      <c r="I124" s="242"/>
      <c r="J124" s="233"/>
      <c r="K124" s="243"/>
      <c r="L124" s="233"/>
      <c r="M124" s="233"/>
      <c r="N124" s="233"/>
      <c r="O124" s="233"/>
      <c r="P124" s="233"/>
      <c r="Q124" s="243"/>
      <c r="R124" s="363">
        <v>0.11379279303146381</v>
      </c>
      <c r="S124" s="366" t="s">
        <v>234</v>
      </c>
    </row>
    <row r="125" spans="3:19">
      <c r="C125" s="233"/>
      <c r="D125" s="241"/>
      <c r="E125" s="233"/>
      <c r="F125" s="233"/>
      <c r="G125" s="233"/>
      <c r="H125" s="233"/>
      <c r="I125" s="242"/>
      <c r="J125" s="233"/>
      <c r="K125" s="243"/>
      <c r="L125" s="233"/>
      <c r="M125" s="233"/>
      <c r="N125" s="233"/>
      <c r="O125" s="233"/>
      <c r="P125" s="233"/>
      <c r="Q125" s="243"/>
      <c r="R125" s="632">
        <v>1069907872</v>
      </c>
      <c r="S125" s="359" t="s">
        <v>37</v>
      </c>
    </row>
    <row r="126" spans="3:19">
      <c r="C126" s="233"/>
      <c r="D126" s="241"/>
      <c r="E126" s="233"/>
      <c r="F126" s="233"/>
      <c r="G126" s="233"/>
      <c r="H126" s="233"/>
      <c r="I126" s="242"/>
      <c r="J126" s="233"/>
      <c r="K126" s="243"/>
      <c r="L126" s="233"/>
      <c r="M126" s="233"/>
      <c r="N126" s="233"/>
      <c r="O126" s="233"/>
      <c r="P126" s="233"/>
      <c r="Q126" s="243"/>
      <c r="R126" s="633">
        <v>1107616715</v>
      </c>
      <c r="S126" s="360" t="s">
        <v>38</v>
      </c>
    </row>
    <row r="127" spans="3:19">
      <c r="C127" s="233"/>
      <c r="D127" s="241"/>
      <c r="E127" s="233"/>
      <c r="F127" s="233"/>
      <c r="G127" s="233"/>
      <c r="H127" s="233"/>
      <c r="I127" s="242"/>
      <c r="J127" s="233"/>
      <c r="K127" s="243"/>
      <c r="L127" s="233"/>
      <c r="M127" s="233"/>
      <c r="N127" s="233"/>
      <c r="O127" s="233"/>
      <c r="P127" s="233"/>
      <c r="Q127" s="243"/>
      <c r="R127" s="412">
        <v>1087305187</v>
      </c>
      <c r="S127" s="368" t="s">
        <v>326</v>
      </c>
    </row>
    <row r="128" spans="3:19" ht="13.5" thickBot="1">
      <c r="C128" s="233"/>
      <c r="D128" s="241"/>
      <c r="E128" s="233"/>
      <c r="F128" s="233"/>
      <c r="G128" s="233"/>
      <c r="H128" s="233"/>
      <c r="I128" s="242"/>
      <c r="J128" s="233"/>
      <c r="K128" s="243"/>
      <c r="L128" s="233"/>
      <c r="M128" s="233"/>
      <c r="N128" s="233"/>
      <c r="O128" s="233"/>
      <c r="P128" s="233"/>
      <c r="Q128" s="243"/>
      <c r="R128" s="413">
        <v>26836591</v>
      </c>
      <c r="S128" s="370" t="s">
        <v>322</v>
      </c>
    </row>
    <row r="129" spans="3:19">
      <c r="C129" s="233"/>
      <c r="D129" s="241"/>
      <c r="E129" s="233"/>
      <c r="F129" s="233"/>
      <c r="G129" s="233"/>
      <c r="H129" s="233"/>
      <c r="I129" s="242"/>
      <c r="J129" s="233"/>
      <c r="K129" s="243"/>
      <c r="L129" s="233"/>
      <c r="M129" s="233"/>
      <c r="N129" s="233"/>
      <c r="O129" s="233"/>
      <c r="P129" s="233"/>
      <c r="Q129" s="243"/>
      <c r="R129" s="233"/>
      <c r="S129" s="233"/>
    </row>
    <row r="130" spans="3:19">
      <c r="C130" s="233"/>
      <c r="D130" s="241"/>
      <c r="E130" s="233"/>
      <c r="F130" s="233"/>
      <c r="G130" s="233"/>
      <c r="H130" s="233"/>
      <c r="I130" s="242"/>
      <c r="J130" s="233"/>
      <c r="K130" s="243"/>
      <c r="L130" s="233"/>
      <c r="M130" s="233"/>
      <c r="N130" s="233"/>
      <c r="O130" s="233"/>
      <c r="P130" s="233"/>
      <c r="Q130" s="243"/>
      <c r="R130" s="350" t="s">
        <v>116</v>
      </c>
      <c r="S130" s="233" t="s">
        <v>130</v>
      </c>
    </row>
    <row r="131" spans="3:19" ht="13.5" thickBot="1">
      <c r="C131" s="233"/>
      <c r="D131" s="241"/>
      <c r="E131" s="233"/>
      <c r="F131" s="233"/>
      <c r="G131" s="233"/>
      <c r="H131" s="233"/>
      <c r="I131" s="242"/>
      <c r="J131" s="233"/>
      <c r="K131" s="243"/>
      <c r="L131" s="233"/>
      <c r="M131" s="233"/>
      <c r="N131" s="233"/>
      <c r="O131" s="233"/>
      <c r="P131" s="233"/>
      <c r="Q131" s="243"/>
      <c r="R131" s="351" t="s">
        <v>134</v>
      </c>
      <c r="S131" s="233"/>
    </row>
    <row r="132" spans="3:19">
      <c r="C132" s="233"/>
      <c r="D132" s="241"/>
      <c r="E132" s="233"/>
      <c r="F132" s="233"/>
      <c r="G132" s="233"/>
      <c r="H132" s="233"/>
      <c r="I132" s="242"/>
      <c r="J132" s="233"/>
      <c r="K132" s="243"/>
      <c r="L132" s="233"/>
      <c r="M132" s="233"/>
      <c r="N132" s="233"/>
      <c r="O132" s="233"/>
      <c r="P132" s="233"/>
      <c r="Q132" s="243"/>
      <c r="R132" s="371">
        <f>+N17</f>
        <v>8270466.4672365077</v>
      </c>
      <c r="S132" s="148" t="s">
        <v>136</v>
      </c>
    </row>
    <row r="133" spans="3:19">
      <c r="C133" s="233"/>
      <c r="D133" s="241"/>
      <c r="E133" s="233"/>
      <c r="F133" s="233"/>
      <c r="G133" s="233"/>
      <c r="H133" s="233"/>
      <c r="I133" s="242"/>
      <c r="J133" s="233"/>
      <c r="K133" s="243"/>
      <c r="L133" s="233"/>
      <c r="M133" s="233"/>
      <c r="N133" s="233"/>
      <c r="O133" s="233"/>
      <c r="P133" s="233"/>
      <c r="Q133" s="243"/>
      <c r="R133" s="372">
        <f>+O17</f>
        <v>8270466.4672365077</v>
      </c>
      <c r="S133" s="148" t="s">
        <v>137</v>
      </c>
    </row>
    <row r="134" spans="3:19">
      <c r="C134" s="233"/>
      <c r="D134" s="241"/>
      <c r="E134" s="233"/>
      <c r="F134" s="233"/>
      <c r="G134" s="233"/>
      <c r="H134" s="233"/>
      <c r="I134" s="242"/>
      <c r="J134" s="233"/>
      <c r="K134" s="243"/>
      <c r="L134" s="233"/>
      <c r="M134" s="233"/>
      <c r="N134" s="233"/>
      <c r="O134" s="233"/>
      <c r="P134" s="233"/>
      <c r="Q134" s="243"/>
      <c r="R134" s="414">
        <f>+N18</f>
        <v>8678780.3721792269</v>
      </c>
      <c r="S134" s="148" t="s">
        <v>138</v>
      </c>
    </row>
    <row r="135" spans="3:19" ht="13.5" thickBot="1">
      <c r="C135" s="233"/>
      <c r="D135" s="241"/>
      <c r="E135" s="233"/>
      <c r="F135" s="233"/>
      <c r="G135" s="233"/>
      <c r="H135" s="233"/>
      <c r="I135" s="242"/>
      <c r="J135" s="233"/>
      <c r="K135" s="243"/>
      <c r="L135" s="233"/>
      <c r="M135" s="233"/>
      <c r="N135" s="233"/>
      <c r="O135" s="233"/>
      <c r="P135" s="233"/>
      <c r="Q135" s="243"/>
      <c r="R135" s="373">
        <f>+O18</f>
        <v>8678780.3721792269</v>
      </c>
      <c r="S135" s="148" t="s">
        <v>139</v>
      </c>
    </row>
    <row r="136" spans="3:19" ht="12.75" customHeight="1">
      <c r="R136" s="233"/>
      <c r="S136" s="233"/>
    </row>
    <row r="137" spans="3:19" ht="12.75" customHeight="1">
      <c r="R137" s="350" t="s">
        <v>128</v>
      </c>
      <c r="S137" s="234" t="s">
        <v>133</v>
      </c>
    </row>
  </sheetData>
  <mergeCells count="6">
    <mergeCell ref="C8:I8"/>
    <mergeCell ref="A1:K1"/>
    <mergeCell ref="A2:K2"/>
    <mergeCell ref="A3:K3"/>
    <mergeCell ref="A4:K4"/>
    <mergeCell ref="A5:K5"/>
  </mergeCells>
  <phoneticPr fontId="0" type="noConversion"/>
  <printOptions horizontalCentered="1"/>
  <pageMargins left="0.25" right="0.25" top="0.75" bottom="0.25" header="0.25" footer="0.5"/>
  <pageSetup scale="41" fitToHeight="5" orientation="landscape" horizontalDpi="1200" verticalDpi="1200" r:id="rId1"/>
  <headerFooter alignWithMargins="0">
    <oddHeader xml:space="preserve">&amp;R&amp;16AEP - SPP Formula Rate
PSO TCOS - WS G
Page: &amp;P of &amp;N
</oddHeader>
    <oddFooter xml:space="preserve">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162"/>
  <sheetViews>
    <sheetView zoomScale="85" zoomScaleNormal="85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27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645841.5888943586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645841.5888943586</v>
      </c>
      <c r="O6" s="233"/>
      <c r="P6" s="233"/>
    </row>
    <row r="7" spans="1:16" ht="13.5" thickBot="1">
      <c r="C7" s="431" t="s">
        <v>46</v>
      </c>
      <c r="D7" s="617" t="s">
        <v>343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345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5058589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2019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3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117641.60465116279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2019</v>
      </c>
      <c r="D17" s="621">
        <v>0</v>
      </c>
      <c r="E17" s="622">
        <v>0</v>
      </c>
      <c r="F17" s="623">
        <v>4120000</v>
      </c>
      <c r="G17" s="622">
        <v>230012.66047295602</v>
      </c>
      <c r="H17" s="624">
        <v>230012.66047295602</v>
      </c>
      <c r="I17" s="475">
        <f>H17-G17</f>
        <v>0</v>
      </c>
      <c r="J17" s="475"/>
      <c r="K17" s="554">
        <f>+G17</f>
        <v>230012.66047295602</v>
      </c>
      <c r="L17" s="477">
        <f t="shared" ref="L17:L18" si="0">IF(K17&lt;&gt;0,+G17-K17,0)</f>
        <v>0</v>
      </c>
      <c r="M17" s="554">
        <f>+H17</f>
        <v>230012.66047295602</v>
      </c>
      <c r="N17" s="477">
        <f t="shared" ref="N17:N72" si="1">IF(M17&lt;&gt;0,+H17-M17,0)</f>
        <v>0</v>
      </c>
      <c r="O17" s="478">
        <f t="shared" ref="O17:O72" si="2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2020</v>
      </c>
      <c r="D18" s="625">
        <v>4236000</v>
      </c>
      <c r="E18" s="626">
        <v>100857.14285714286</v>
      </c>
      <c r="F18" s="625">
        <v>4135142.8571428573</v>
      </c>
      <c r="G18" s="626">
        <v>552918.85124067403</v>
      </c>
      <c r="H18" s="627">
        <v>552918.85124067403</v>
      </c>
      <c r="I18" s="475">
        <f>H18-G18</f>
        <v>0</v>
      </c>
      <c r="J18" s="475"/>
      <c r="K18" s="478">
        <f>+G18</f>
        <v>552918.85124067403</v>
      </c>
      <c r="L18" s="478">
        <f t="shared" si="0"/>
        <v>0</v>
      </c>
      <c r="M18" s="478">
        <f>+H18</f>
        <v>552918.85124067403</v>
      </c>
      <c r="N18" s="478">
        <f t="shared" si="1"/>
        <v>0</v>
      </c>
      <c r="O18" s="478">
        <f t="shared" si="2"/>
        <v>0</v>
      </c>
      <c r="P18" s="243"/>
    </row>
    <row r="19" spans="2:16">
      <c r="B19" s="160" t="str">
        <f>IF(D19=F18,"","IU")</f>
        <v>IU</v>
      </c>
      <c r="C19" s="472">
        <f>IF(D11="","-",+C18+1)</f>
        <v>2021</v>
      </c>
      <c r="D19" s="625">
        <v>4957664.8571428573</v>
      </c>
      <c r="E19" s="626">
        <v>117640.04651162791</v>
      </c>
      <c r="F19" s="625">
        <v>4840024.8106312295</v>
      </c>
      <c r="G19" s="626">
        <v>645841.5888943586</v>
      </c>
      <c r="H19" s="627">
        <v>645841.5888943586</v>
      </c>
      <c r="I19" s="475">
        <f t="shared" ref="I19:I71" si="3">H19-G19</f>
        <v>0</v>
      </c>
      <c r="J19" s="475"/>
      <c r="K19" s="478">
        <f>+G19</f>
        <v>645841.5888943586</v>
      </c>
      <c r="L19" s="478">
        <f t="shared" ref="L19" si="4">IF(K19&lt;&gt;0,+G19-K19,0)</f>
        <v>0</v>
      </c>
      <c r="M19" s="478">
        <f>+H19</f>
        <v>645841.5888943586</v>
      </c>
      <c r="N19" s="478">
        <f t="shared" si="1"/>
        <v>0</v>
      </c>
      <c r="O19" s="478">
        <f t="shared" si="2"/>
        <v>0</v>
      </c>
      <c r="P19" s="243"/>
    </row>
    <row r="20" spans="2:16">
      <c r="B20" s="160" t="str">
        <f t="shared" ref="B20:B72" si="5">IF(D20=F19,"","IU")</f>
        <v>IU</v>
      </c>
      <c r="C20" s="472">
        <f>IF(D11="","-",+C19+1)</f>
        <v>2022</v>
      </c>
      <c r="D20" s="483">
        <f>IF(F19+SUM(E$17:E19)=D$10,F19,D$10-SUM(E$17:E19))</f>
        <v>4840091.8106312295</v>
      </c>
      <c r="E20" s="484">
        <f t="shared" ref="E20:E71" si="6">IF(+I$14&lt;F19,I$14,D20)</f>
        <v>117641.60465116279</v>
      </c>
      <c r="F20" s="485">
        <f t="shared" ref="F20:F71" si="7">+D20-E20</f>
        <v>4722450.2059800671</v>
      </c>
      <c r="G20" s="486">
        <f t="shared" ref="G20:G71" si="8">(D20+F20)/2*I$12+E20</f>
        <v>667757.12473648565</v>
      </c>
      <c r="H20" s="455">
        <f t="shared" ref="H20:H71" si="9">+(D20+F20)/2*I$13+E20</f>
        <v>667757.12473648565</v>
      </c>
      <c r="I20" s="475">
        <f t="shared" si="3"/>
        <v>0</v>
      </c>
      <c r="J20" s="475"/>
      <c r="K20" s="487"/>
      <c r="L20" s="478">
        <f t="shared" ref="L20:L72" si="10">IF(K20&lt;&gt;0,+G20-K20,0)</f>
        <v>0</v>
      </c>
      <c r="M20" s="487"/>
      <c r="N20" s="478">
        <f t="shared" si="1"/>
        <v>0</v>
      </c>
      <c r="O20" s="478">
        <f t="shared" si="2"/>
        <v>0</v>
      </c>
      <c r="P20" s="243"/>
    </row>
    <row r="21" spans="2:16">
      <c r="B21" s="160" t="str">
        <f t="shared" si="5"/>
        <v/>
      </c>
      <c r="C21" s="472">
        <f>IF(D11="","-",+C20+1)</f>
        <v>2023</v>
      </c>
      <c r="D21" s="483">
        <f>IF(F20+SUM(E$17:E20)=D$10,F20,D$10-SUM(E$17:E20))</f>
        <v>4722450.2059800671</v>
      </c>
      <c r="E21" s="484">
        <f t="shared" si="6"/>
        <v>117641.60465116279</v>
      </c>
      <c r="F21" s="485">
        <f t="shared" si="7"/>
        <v>4604808.6013289047</v>
      </c>
      <c r="G21" s="486">
        <f t="shared" si="8"/>
        <v>654221.71283159137</v>
      </c>
      <c r="H21" s="455">
        <f t="shared" si="9"/>
        <v>654221.71283159137</v>
      </c>
      <c r="I21" s="475">
        <f t="shared" si="3"/>
        <v>0</v>
      </c>
      <c r="J21" s="475"/>
      <c r="K21" s="487"/>
      <c r="L21" s="478">
        <f t="shared" si="10"/>
        <v>0</v>
      </c>
      <c r="M21" s="487"/>
      <c r="N21" s="478">
        <f t="shared" si="1"/>
        <v>0</v>
      </c>
      <c r="O21" s="478">
        <f t="shared" si="2"/>
        <v>0</v>
      </c>
      <c r="P21" s="243"/>
    </row>
    <row r="22" spans="2:16">
      <c r="B22" s="160" t="str">
        <f t="shared" si="5"/>
        <v/>
      </c>
      <c r="C22" s="472">
        <f>IF(D11="","-",+C21+1)</f>
        <v>2024</v>
      </c>
      <c r="D22" s="483">
        <f>IF(F21+SUM(E$17:E21)=D$10,F21,D$10-SUM(E$17:E21))</f>
        <v>4604808.6013289047</v>
      </c>
      <c r="E22" s="484">
        <f t="shared" si="6"/>
        <v>117641.60465116279</v>
      </c>
      <c r="F22" s="485">
        <f t="shared" si="7"/>
        <v>4487166.9966777423</v>
      </c>
      <c r="G22" s="486">
        <f t="shared" si="8"/>
        <v>640686.30092669709</v>
      </c>
      <c r="H22" s="455">
        <f t="shared" si="9"/>
        <v>640686.30092669709</v>
      </c>
      <c r="I22" s="475">
        <f t="shared" si="3"/>
        <v>0</v>
      </c>
      <c r="J22" s="475"/>
      <c r="K22" s="487"/>
      <c r="L22" s="478">
        <f t="shared" si="10"/>
        <v>0</v>
      </c>
      <c r="M22" s="487"/>
      <c r="N22" s="478">
        <f t="shared" si="1"/>
        <v>0</v>
      </c>
      <c r="O22" s="478">
        <f t="shared" si="2"/>
        <v>0</v>
      </c>
      <c r="P22" s="243"/>
    </row>
    <row r="23" spans="2:16">
      <c r="B23" s="160" t="str">
        <f t="shared" si="5"/>
        <v/>
      </c>
      <c r="C23" s="472">
        <f>IF(D11="","-",+C22+1)</f>
        <v>2025</v>
      </c>
      <c r="D23" s="483">
        <f>IF(F22+SUM(E$17:E22)=D$10,F22,D$10-SUM(E$17:E22))</f>
        <v>4487166.9966777423</v>
      </c>
      <c r="E23" s="484">
        <f t="shared" si="6"/>
        <v>117641.60465116279</v>
      </c>
      <c r="F23" s="485">
        <f t="shared" si="7"/>
        <v>4369525.3920265799</v>
      </c>
      <c r="G23" s="486">
        <f t="shared" si="8"/>
        <v>627150.88902180281</v>
      </c>
      <c r="H23" s="455">
        <f t="shared" si="9"/>
        <v>627150.88902180281</v>
      </c>
      <c r="I23" s="475">
        <f t="shared" si="3"/>
        <v>0</v>
      </c>
      <c r="J23" s="475"/>
      <c r="K23" s="487"/>
      <c r="L23" s="478">
        <f t="shared" si="10"/>
        <v>0</v>
      </c>
      <c r="M23" s="487"/>
      <c r="N23" s="478">
        <f t="shared" si="1"/>
        <v>0</v>
      </c>
      <c r="O23" s="478">
        <f t="shared" si="2"/>
        <v>0</v>
      </c>
      <c r="P23" s="243"/>
    </row>
    <row r="24" spans="2:16">
      <c r="B24" s="160" t="str">
        <f t="shared" si="5"/>
        <v/>
      </c>
      <c r="C24" s="472">
        <f>IF(D11="","-",+C23+1)</f>
        <v>2026</v>
      </c>
      <c r="D24" s="483">
        <f>IF(F23+SUM(E$17:E23)=D$10,F23,D$10-SUM(E$17:E23))</f>
        <v>4369525.3920265799</v>
      </c>
      <c r="E24" s="484">
        <f t="shared" si="6"/>
        <v>117641.60465116279</v>
      </c>
      <c r="F24" s="485">
        <f t="shared" si="7"/>
        <v>4251883.7873754175</v>
      </c>
      <c r="G24" s="486">
        <f t="shared" si="8"/>
        <v>613615.47711690853</v>
      </c>
      <c r="H24" s="455">
        <f t="shared" si="9"/>
        <v>613615.47711690853</v>
      </c>
      <c r="I24" s="475">
        <f t="shared" si="3"/>
        <v>0</v>
      </c>
      <c r="J24" s="475"/>
      <c r="K24" s="487"/>
      <c r="L24" s="478">
        <f t="shared" si="10"/>
        <v>0</v>
      </c>
      <c r="M24" s="487"/>
      <c r="N24" s="478">
        <f t="shared" si="1"/>
        <v>0</v>
      </c>
      <c r="O24" s="478">
        <f t="shared" si="2"/>
        <v>0</v>
      </c>
      <c r="P24" s="243"/>
    </row>
    <row r="25" spans="2:16">
      <c r="B25" s="160" t="str">
        <f t="shared" si="5"/>
        <v/>
      </c>
      <c r="C25" s="472">
        <f>IF(D11="","-",+C24+1)</f>
        <v>2027</v>
      </c>
      <c r="D25" s="483">
        <f>IF(F24+SUM(E$17:E24)=D$10,F24,D$10-SUM(E$17:E24))</f>
        <v>4251883.7873754175</v>
      </c>
      <c r="E25" s="484">
        <f t="shared" si="6"/>
        <v>117641.60465116279</v>
      </c>
      <c r="F25" s="485">
        <f t="shared" si="7"/>
        <v>4134242.1827242547</v>
      </c>
      <c r="G25" s="486">
        <f t="shared" si="8"/>
        <v>600080.06521201425</v>
      </c>
      <c r="H25" s="455">
        <f t="shared" si="9"/>
        <v>600080.06521201425</v>
      </c>
      <c r="I25" s="475">
        <f t="shared" si="3"/>
        <v>0</v>
      </c>
      <c r="J25" s="475"/>
      <c r="K25" s="487"/>
      <c r="L25" s="478">
        <f t="shared" si="10"/>
        <v>0</v>
      </c>
      <c r="M25" s="487"/>
      <c r="N25" s="478">
        <f t="shared" si="1"/>
        <v>0</v>
      </c>
      <c r="O25" s="478">
        <f t="shared" si="2"/>
        <v>0</v>
      </c>
      <c r="P25" s="243"/>
    </row>
    <row r="26" spans="2:16">
      <c r="B26" s="160" t="str">
        <f t="shared" si="5"/>
        <v/>
      </c>
      <c r="C26" s="472">
        <f>IF(D11="","-",+C25+1)</f>
        <v>2028</v>
      </c>
      <c r="D26" s="483">
        <f>IF(F25+SUM(E$17:E25)=D$10,F25,D$10-SUM(E$17:E25))</f>
        <v>4134242.1827242547</v>
      </c>
      <c r="E26" s="484">
        <f t="shared" si="6"/>
        <v>117641.60465116279</v>
      </c>
      <c r="F26" s="485">
        <f t="shared" si="7"/>
        <v>4016600.5780730918</v>
      </c>
      <c r="G26" s="486">
        <f t="shared" si="8"/>
        <v>586544.65330711985</v>
      </c>
      <c r="H26" s="455">
        <f t="shared" si="9"/>
        <v>586544.65330711985</v>
      </c>
      <c r="I26" s="475">
        <f t="shared" si="3"/>
        <v>0</v>
      </c>
      <c r="J26" s="475"/>
      <c r="K26" s="487"/>
      <c r="L26" s="478">
        <f t="shared" si="10"/>
        <v>0</v>
      </c>
      <c r="M26" s="487"/>
      <c r="N26" s="478">
        <f t="shared" si="1"/>
        <v>0</v>
      </c>
      <c r="O26" s="478">
        <f t="shared" si="2"/>
        <v>0</v>
      </c>
      <c r="P26" s="243"/>
    </row>
    <row r="27" spans="2:16">
      <c r="B27" s="160" t="str">
        <f t="shared" si="5"/>
        <v/>
      </c>
      <c r="C27" s="472">
        <f>IF(D11="","-",+C26+1)</f>
        <v>2029</v>
      </c>
      <c r="D27" s="483">
        <f>IF(F26+SUM(E$17:E26)=D$10,F26,D$10-SUM(E$17:E26))</f>
        <v>4016600.5780730918</v>
      </c>
      <c r="E27" s="484">
        <f t="shared" si="6"/>
        <v>117641.60465116279</v>
      </c>
      <c r="F27" s="485">
        <f t="shared" si="7"/>
        <v>3898958.9734219289</v>
      </c>
      <c r="G27" s="486">
        <f t="shared" si="8"/>
        <v>573009.24140222557</v>
      </c>
      <c r="H27" s="455">
        <f t="shared" si="9"/>
        <v>573009.24140222557</v>
      </c>
      <c r="I27" s="475">
        <f t="shared" si="3"/>
        <v>0</v>
      </c>
      <c r="J27" s="475"/>
      <c r="K27" s="487"/>
      <c r="L27" s="478">
        <f t="shared" si="10"/>
        <v>0</v>
      </c>
      <c r="M27" s="487"/>
      <c r="N27" s="478">
        <f t="shared" si="1"/>
        <v>0</v>
      </c>
      <c r="O27" s="478">
        <f t="shared" si="2"/>
        <v>0</v>
      </c>
      <c r="P27" s="243"/>
    </row>
    <row r="28" spans="2:16">
      <c r="B28" s="160" t="str">
        <f t="shared" si="5"/>
        <v/>
      </c>
      <c r="C28" s="472">
        <f>IF(D11="","-",+C27+1)</f>
        <v>2030</v>
      </c>
      <c r="D28" s="483">
        <f>IF(F27+SUM(E$17:E27)=D$10,F27,D$10-SUM(E$17:E27))</f>
        <v>3898958.9734219289</v>
      </c>
      <c r="E28" s="484">
        <f t="shared" si="6"/>
        <v>117641.60465116279</v>
      </c>
      <c r="F28" s="485">
        <f t="shared" si="7"/>
        <v>3781317.3687707661</v>
      </c>
      <c r="G28" s="486">
        <f t="shared" si="8"/>
        <v>559473.82949733117</v>
      </c>
      <c r="H28" s="455">
        <f t="shared" si="9"/>
        <v>559473.82949733117</v>
      </c>
      <c r="I28" s="475">
        <f t="shared" si="3"/>
        <v>0</v>
      </c>
      <c r="J28" s="475"/>
      <c r="K28" s="487"/>
      <c r="L28" s="478">
        <f t="shared" si="10"/>
        <v>0</v>
      </c>
      <c r="M28" s="487"/>
      <c r="N28" s="478">
        <f t="shared" si="1"/>
        <v>0</v>
      </c>
      <c r="O28" s="478">
        <f t="shared" si="2"/>
        <v>0</v>
      </c>
      <c r="P28" s="243"/>
    </row>
    <row r="29" spans="2:16">
      <c r="B29" s="160" t="str">
        <f t="shared" si="5"/>
        <v/>
      </c>
      <c r="C29" s="472">
        <f>IF(D11="","-",+C28+1)</f>
        <v>2031</v>
      </c>
      <c r="D29" s="483">
        <f>IF(F28+SUM(E$17:E28)=D$10,F28,D$10-SUM(E$17:E28))</f>
        <v>3781317.3687707661</v>
      </c>
      <c r="E29" s="484">
        <f t="shared" si="6"/>
        <v>117641.60465116279</v>
      </c>
      <c r="F29" s="485">
        <f t="shared" si="7"/>
        <v>3663675.7641196032</v>
      </c>
      <c r="G29" s="486">
        <f t="shared" si="8"/>
        <v>545938.41759243689</v>
      </c>
      <c r="H29" s="455">
        <f t="shared" si="9"/>
        <v>545938.41759243689</v>
      </c>
      <c r="I29" s="475">
        <f t="shared" si="3"/>
        <v>0</v>
      </c>
      <c r="J29" s="475"/>
      <c r="K29" s="487"/>
      <c r="L29" s="478">
        <f t="shared" si="10"/>
        <v>0</v>
      </c>
      <c r="M29" s="487"/>
      <c r="N29" s="478">
        <f t="shared" si="1"/>
        <v>0</v>
      </c>
      <c r="O29" s="478">
        <f t="shared" si="2"/>
        <v>0</v>
      </c>
      <c r="P29" s="243"/>
    </row>
    <row r="30" spans="2:16">
      <c r="B30" s="160" t="str">
        <f t="shared" si="5"/>
        <v/>
      </c>
      <c r="C30" s="472">
        <f>IF(D11="","-",+C29+1)</f>
        <v>2032</v>
      </c>
      <c r="D30" s="483">
        <f>IF(F29+SUM(E$17:E29)=D$10,F29,D$10-SUM(E$17:E29))</f>
        <v>3663675.7641196032</v>
      </c>
      <c r="E30" s="484">
        <f t="shared" si="6"/>
        <v>117641.60465116279</v>
      </c>
      <c r="F30" s="485">
        <f t="shared" si="7"/>
        <v>3546034.1594684403</v>
      </c>
      <c r="G30" s="486">
        <f t="shared" si="8"/>
        <v>532403.00568754249</v>
      </c>
      <c r="H30" s="455">
        <f t="shared" si="9"/>
        <v>532403.00568754249</v>
      </c>
      <c r="I30" s="475">
        <f t="shared" si="3"/>
        <v>0</v>
      </c>
      <c r="J30" s="475"/>
      <c r="K30" s="487"/>
      <c r="L30" s="478">
        <f t="shared" si="10"/>
        <v>0</v>
      </c>
      <c r="M30" s="487"/>
      <c r="N30" s="478">
        <f t="shared" si="1"/>
        <v>0</v>
      </c>
      <c r="O30" s="478">
        <f t="shared" si="2"/>
        <v>0</v>
      </c>
      <c r="P30" s="243"/>
    </row>
    <row r="31" spans="2:16">
      <c r="B31" s="160" t="str">
        <f t="shared" si="5"/>
        <v/>
      </c>
      <c r="C31" s="472">
        <f>IF(D11="","-",+C30+1)</f>
        <v>2033</v>
      </c>
      <c r="D31" s="483">
        <f>IF(F30+SUM(E$17:E30)=D$10,F30,D$10-SUM(E$17:E30))</f>
        <v>3546034.1594684403</v>
      </c>
      <c r="E31" s="484">
        <f t="shared" si="6"/>
        <v>117641.60465116279</v>
      </c>
      <c r="F31" s="485">
        <f t="shared" si="7"/>
        <v>3428392.5548172775</v>
      </c>
      <c r="G31" s="486">
        <f t="shared" si="8"/>
        <v>518867.59378264827</v>
      </c>
      <c r="H31" s="455">
        <f t="shared" si="9"/>
        <v>518867.59378264827</v>
      </c>
      <c r="I31" s="475">
        <f t="shared" si="3"/>
        <v>0</v>
      </c>
      <c r="J31" s="475"/>
      <c r="K31" s="487"/>
      <c r="L31" s="478">
        <f t="shared" si="10"/>
        <v>0</v>
      </c>
      <c r="M31" s="487"/>
      <c r="N31" s="478">
        <f t="shared" si="1"/>
        <v>0</v>
      </c>
      <c r="O31" s="478">
        <f t="shared" si="2"/>
        <v>0</v>
      </c>
      <c r="P31" s="243"/>
    </row>
    <row r="32" spans="2:16">
      <c r="B32" s="160" t="str">
        <f t="shared" si="5"/>
        <v/>
      </c>
      <c r="C32" s="472">
        <f>IF(D11="","-",+C31+1)</f>
        <v>2034</v>
      </c>
      <c r="D32" s="483">
        <f>IF(F31+SUM(E$17:E31)=D$10,F31,D$10-SUM(E$17:E31))</f>
        <v>3428392.5548172775</v>
      </c>
      <c r="E32" s="484">
        <f t="shared" si="6"/>
        <v>117641.60465116279</v>
      </c>
      <c r="F32" s="485">
        <f t="shared" si="7"/>
        <v>3310750.9501661146</v>
      </c>
      <c r="G32" s="486">
        <f t="shared" si="8"/>
        <v>505332.18187775393</v>
      </c>
      <c r="H32" s="455">
        <f t="shared" si="9"/>
        <v>505332.18187775393</v>
      </c>
      <c r="I32" s="475">
        <f t="shared" si="3"/>
        <v>0</v>
      </c>
      <c r="J32" s="475"/>
      <c r="K32" s="487"/>
      <c r="L32" s="478">
        <f t="shared" si="10"/>
        <v>0</v>
      </c>
      <c r="M32" s="487"/>
      <c r="N32" s="478">
        <f t="shared" si="1"/>
        <v>0</v>
      </c>
      <c r="O32" s="478">
        <f t="shared" si="2"/>
        <v>0</v>
      </c>
      <c r="P32" s="243"/>
    </row>
    <row r="33" spans="2:16">
      <c r="B33" s="160" t="str">
        <f t="shared" si="5"/>
        <v/>
      </c>
      <c r="C33" s="472">
        <f>IF(D11="","-",+C32+1)</f>
        <v>2035</v>
      </c>
      <c r="D33" s="483">
        <f>IF(F32+SUM(E$17:E32)=D$10,F32,D$10-SUM(E$17:E32))</f>
        <v>3310750.9501661146</v>
      </c>
      <c r="E33" s="484">
        <f t="shared" si="6"/>
        <v>117641.60465116279</v>
      </c>
      <c r="F33" s="485">
        <f t="shared" si="7"/>
        <v>3193109.3455149517</v>
      </c>
      <c r="G33" s="486">
        <f t="shared" si="8"/>
        <v>491796.76997285965</v>
      </c>
      <c r="H33" s="455">
        <f t="shared" si="9"/>
        <v>491796.76997285965</v>
      </c>
      <c r="I33" s="475">
        <f t="shared" si="3"/>
        <v>0</v>
      </c>
      <c r="J33" s="475"/>
      <c r="K33" s="487"/>
      <c r="L33" s="478">
        <f t="shared" si="10"/>
        <v>0</v>
      </c>
      <c r="M33" s="487"/>
      <c r="N33" s="478">
        <f t="shared" si="1"/>
        <v>0</v>
      </c>
      <c r="O33" s="478">
        <f t="shared" si="2"/>
        <v>0</v>
      </c>
      <c r="P33" s="243"/>
    </row>
    <row r="34" spans="2:16">
      <c r="B34" s="160" t="str">
        <f t="shared" si="5"/>
        <v/>
      </c>
      <c r="C34" s="472">
        <f>IF(D11="","-",+C33+1)</f>
        <v>2036</v>
      </c>
      <c r="D34" s="483">
        <f>IF(F33+SUM(E$17:E33)=D$10,F33,D$10-SUM(E$17:E33))</f>
        <v>3193109.3455149517</v>
      </c>
      <c r="E34" s="484">
        <f t="shared" si="6"/>
        <v>117641.60465116279</v>
      </c>
      <c r="F34" s="485">
        <f t="shared" si="7"/>
        <v>3075467.7408637889</v>
      </c>
      <c r="G34" s="486">
        <f t="shared" si="8"/>
        <v>478261.35806796525</v>
      </c>
      <c r="H34" s="455">
        <f t="shared" si="9"/>
        <v>478261.35806796525</v>
      </c>
      <c r="I34" s="475">
        <f t="shared" si="3"/>
        <v>0</v>
      </c>
      <c r="J34" s="475"/>
      <c r="K34" s="487"/>
      <c r="L34" s="478">
        <f t="shared" si="10"/>
        <v>0</v>
      </c>
      <c r="M34" s="487"/>
      <c r="N34" s="478">
        <f t="shared" si="1"/>
        <v>0</v>
      </c>
      <c r="O34" s="478">
        <f t="shared" si="2"/>
        <v>0</v>
      </c>
      <c r="P34" s="243"/>
    </row>
    <row r="35" spans="2:16">
      <c r="B35" s="160" t="str">
        <f t="shared" si="5"/>
        <v/>
      </c>
      <c r="C35" s="472">
        <f>IF(D11="","-",+C34+1)</f>
        <v>2037</v>
      </c>
      <c r="D35" s="483">
        <f>IF(F34+SUM(E$17:E34)=D$10,F34,D$10-SUM(E$17:E34))</f>
        <v>3075467.7408637889</v>
      </c>
      <c r="E35" s="484">
        <f t="shared" si="6"/>
        <v>117641.60465116279</v>
      </c>
      <c r="F35" s="485">
        <f t="shared" si="7"/>
        <v>2957826.136212626</v>
      </c>
      <c r="G35" s="486">
        <f t="shared" si="8"/>
        <v>464725.94616307097</v>
      </c>
      <c r="H35" s="455">
        <f t="shared" si="9"/>
        <v>464725.94616307097</v>
      </c>
      <c r="I35" s="475">
        <f t="shared" si="3"/>
        <v>0</v>
      </c>
      <c r="J35" s="475"/>
      <c r="K35" s="487"/>
      <c r="L35" s="478">
        <f t="shared" si="10"/>
        <v>0</v>
      </c>
      <c r="M35" s="487"/>
      <c r="N35" s="478">
        <f t="shared" si="1"/>
        <v>0</v>
      </c>
      <c r="O35" s="478">
        <f t="shared" si="2"/>
        <v>0</v>
      </c>
      <c r="P35" s="243"/>
    </row>
    <row r="36" spans="2:16">
      <c r="B36" s="160" t="str">
        <f t="shared" si="5"/>
        <v/>
      </c>
      <c r="C36" s="472">
        <f>IF(D11="","-",+C35+1)</f>
        <v>2038</v>
      </c>
      <c r="D36" s="483">
        <f>IF(F35+SUM(E$17:E35)=D$10,F35,D$10-SUM(E$17:E35))</f>
        <v>2957826.136212626</v>
      </c>
      <c r="E36" s="484">
        <f t="shared" si="6"/>
        <v>117641.60465116279</v>
      </c>
      <c r="F36" s="485">
        <f t="shared" si="7"/>
        <v>2840184.5315614631</v>
      </c>
      <c r="G36" s="486">
        <f t="shared" si="8"/>
        <v>451190.53425817657</v>
      </c>
      <c r="H36" s="455">
        <f t="shared" si="9"/>
        <v>451190.53425817657</v>
      </c>
      <c r="I36" s="475">
        <f t="shared" si="3"/>
        <v>0</v>
      </c>
      <c r="J36" s="475"/>
      <c r="K36" s="487"/>
      <c r="L36" s="478">
        <f t="shared" si="10"/>
        <v>0</v>
      </c>
      <c r="M36" s="487"/>
      <c r="N36" s="478">
        <f t="shared" si="1"/>
        <v>0</v>
      </c>
      <c r="O36" s="478">
        <f t="shared" si="2"/>
        <v>0</v>
      </c>
      <c r="P36" s="243"/>
    </row>
    <row r="37" spans="2:16">
      <c r="B37" s="160" t="str">
        <f t="shared" si="5"/>
        <v/>
      </c>
      <c r="C37" s="472">
        <f>IF(D11="","-",+C36+1)</f>
        <v>2039</v>
      </c>
      <c r="D37" s="483">
        <f>IF(F36+SUM(E$17:E36)=D$10,F36,D$10-SUM(E$17:E36))</f>
        <v>2840184.5315614631</v>
      </c>
      <c r="E37" s="484">
        <f t="shared" si="6"/>
        <v>117641.60465116279</v>
      </c>
      <c r="F37" s="485">
        <f t="shared" si="7"/>
        <v>2722542.9269103003</v>
      </c>
      <c r="G37" s="486">
        <f t="shared" si="8"/>
        <v>437655.12235328229</v>
      </c>
      <c r="H37" s="455">
        <f t="shared" si="9"/>
        <v>437655.12235328229</v>
      </c>
      <c r="I37" s="475">
        <f t="shared" si="3"/>
        <v>0</v>
      </c>
      <c r="J37" s="475"/>
      <c r="K37" s="487"/>
      <c r="L37" s="478">
        <f t="shared" si="10"/>
        <v>0</v>
      </c>
      <c r="M37" s="487"/>
      <c r="N37" s="478">
        <f t="shared" si="1"/>
        <v>0</v>
      </c>
      <c r="O37" s="478">
        <f t="shared" si="2"/>
        <v>0</v>
      </c>
      <c r="P37" s="243"/>
    </row>
    <row r="38" spans="2:16">
      <c r="B38" s="160" t="str">
        <f t="shared" si="5"/>
        <v/>
      </c>
      <c r="C38" s="472">
        <f>IF(D11="","-",+C37+1)</f>
        <v>2040</v>
      </c>
      <c r="D38" s="483">
        <f>IF(F37+SUM(E$17:E37)=D$10,F37,D$10-SUM(E$17:E37))</f>
        <v>2722542.9269103003</v>
      </c>
      <c r="E38" s="484">
        <f t="shared" si="6"/>
        <v>117641.60465116279</v>
      </c>
      <c r="F38" s="485">
        <f t="shared" si="7"/>
        <v>2604901.3222591374</v>
      </c>
      <c r="G38" s="486">
        <f t="shared" si="8"/>
        <v>424119.71044838789</v>
      </c>
      <c r="H38" s="455">
        <f t="shared" si="9"/>
        <v>424119.71044838789</v>
      </c>
      <c r="I38" s="475">
        <f t="shared" si="3"/>
        <v>0</v>
      </c>
      <c r="J38" s="475"/>
      <c r="K38" s="487"/>
      <c r="L38" s="478">
        <f t="shared" si="10"/>
        <v>0</v>
      </c>
      <c r="M38" s="487"/>
      <c r="N38" s="478">
        <f t="shared" si="1"/>
        <v>0</v>
      </c>
      <c r="O38" s="478">
        <f t="shared" si="2"/>
        <v>0</v>
      </c>
      <c r="P38" s="243"/>
    </row>
    <row r="39" spans="2:16">
      <c r="B39" s="160" t="str">
        <f t="shared" si="5"/>
        <v/>
      </c>
      <c r="C39" s="472">
        <f>IF(D11="","-",+C38+1)</f>
        <v>2041</v>
      </c>
      <c r="D39" s="483">
        <f>IF(F38+SUM(E$17:E38)=D$10,F38,D$10-SUM(E$17:E38))</f>
        <v>2604901.3222591374</v>
      </c>
      <c r="E39" s="484">
        <f t="shared" si="6"/>
        <v>117641.60465116279</v>
      </c>
      <c r="F39" s="485">
        <f t="shared" si="7"/>
        <v>2487259.7176079745</v>
      </c>
      <c r="G39" s="486">
        <f t="shared" si="8"/>
        <v>410584.29854349361</v>
      </c>
      <c r="H39" s="455">
        <f t="shared" si="9"/>
        <v>410584.29854349361</v>
      </c>
      <c r="I39" s="475">
        <f t="shared" si="3"/>
        <v>0</v>
      </c>
      <c r="J39" s="475"/>
      <c r="K39" s="487"/>
      <c r="L39" s="478">
        <f t="shared" si="10"/>
        <v>0</v>
      </c>
      <c r="M39" s="487"/>
      <c r="N39" s="478">
        <f t="shared" si="1"/>
        <v>0</v>
      </c>
      <c r="O39" s="478">
        <f t="shared" si="2"/>
        <v>0</v>
      </c>
      <c r="P39" s="243"/>
    </row>
    <row r="40" spans="2:16">
      <c r="B40" s="160" t="str">
        <f t="shared" si="5"/>
        <v/>
      </c>
      <c r="C40" s="472">
        <f>IF(D11="","-",+C39+1)</f>
        <v>2042</v>
      </c>
      <c r="D40" s="483">
        <f>IF(F39+SUM(E$17:E39)=D$10,F39,D$10-SUM(E$17:E39))</f>
        <v>2487259.7176079745</v>
      </c>
      <c r="E40" s="484">
        <f t="shared" si="6"/>
        <v>117641.60465116279</v>
      </c>
      <c r="F40" s="485">
        <f t="shared" si="7"/>
        <v>2369618.1129568117</v>
      </c>
      <c r="G40" s="486">
        <f t="shared" si="8"/>
        <v>397048.88663859927</v>
      </c>
      <c r="H40" s="455">
        <f t="shared" si="9"/>
        <v>397048.88663859927</v>
      </c>
      <c r="I40" s="475">
        <f t="shared" si="3"/>
        <v>0</v>
      </c>
      <c r="J40" s="475"/>
      <c r="K40" s="487"/>
      <c r="L40" s="478">
        <f t="shared" si="10"/>
        <v>0</v>
      </c>
      <c r="M40" s="487"/>
      <c r="N40" s="478">
        <f t="shared" si="1"/>
        <v>0</v>
      </c>
      <c r="O40" s="478">
        <f t="shared" si="2"/>
        <v>0</v>
      </c>
      <c r="P40" s="243"/>
    </row>
    <row r="41" spans="2:16">
      <c r="B41" s="160" t="str">
        <f t="shared" si="5"/>
        <v/>
      </c>
      <c r="C41" s="472">
        <f>IF(D11="","-",+C40+1)</f>
        <v>2043</v>
      </c>
      <c r="D41" s="483">
        <f>IF(F40+SUM(E$17:E40)=D$10,F40,D$10-SUM(E$17:E40))</f>
        <v>2369618.1129568117</v>
      </c>
      <c r="E41" s="484">
        <f t="shared" si="6"/>
        <v>117641.60465116279</v>
      </c>
      <c r="F41" s="485">
        <f t="shared" si="7"/>
        <v>2251976.5083056488</v>
      </c>
      <c r="G41" s="486">
        <f t="shared" si="8"/>
        <v>383513.47473370499</v>
      </c>
      <c r="H41" s="455">
        <f t="shared" si="9"/>
        <v>383513.47473370499</v>
      </c>
      <c r="I41" s="475">
        <f t="shared" si="3"/>
        <v>0</v>
      </c>
      <c r="J41" s="475"/>
      <c r="K41" s="487"/>
      <c r="L41" s="478">
        <f t="shared" si="10"/>
        <v>0</v>
      </c>
      <c r="M41" s="487"/>
      <c r="N41" s="478">
        <f t="shared" si="1"/>
        <v>0</v>
      </c>
      <c r="O41" s="478">
        <f t="shared" si="2"/>
        <v>0</v>
      </c>
      <c r="P41" s="243"/>
    </row>
    <row r="42" spans="2:16">
      <c r="B42" s="160" t="str">
        <f t="shared" si="5"/>
        <v/>
      </c>
      <c r="C42" s="472">
        <f>IF(D11="","-",+C41+1)</f>
        <v>2044</v>
      </c>
      <c r="D42" s="483">
        <f>IF(F41+SUM(E$17:E41)=D$10,F41,D$10-SUM(E$17:E41))</f>
        <v>2251976.5083056488</v>
      </c>
      <c r="E42" s="484">
        <f t="shared" si="6"/>
        <v>117641.60465116279</v>
      </c>
      <c r="F42" s="485">
        <f t="shared" si="7"/>
        <v>2134334.9036544859</v>
      </c>
      <c r="G42" s="486">
        <f t="shared" si="8"/>
        <v>369978.06282881059</v>
      </c>
      <c r="H42" s="455">
        <f t="shared" si="9"/>
        <v>369978.06282881059</v>
      </c>
      <c r="I42" s="475">
        <f t="shared" si="3"/>
        <v>0</v>
      </c>
      <c r="J42" s="475"/>
      <c r="K42" s="487"/>
      <c r="L42" s="478">
        <f t="shared" si="10"/>
        <v>0</v>
      </c>
      <c r="M42" s="487"/>
      <c r="N42" s="478">
        <f t="shared" si="1"/>
        <v>0</v>
      </c>
      <c r="O42" s="478">
        <f t="shared" si="2"/>
        <v>0</v>
      </c>
      <c r="P42" s="243"/>
    </row>
    <row r="43" spans="2:16">
      <c r="B43" s="160" t="str">
        <f t="shared" si="5"/>
        <v/>
      </c>
      <c r="C43" s="472">
        <f>IF(D11="","-",+C42+1)</f>
        <v>2045</v>
      </c>
      <c r="D43" s="483">
        <f>IF(F42+SUM(E$17:E42)=D$10,F42,D$10-SUM(E$17:E42))</f>
        <v>2134334.9036544859</v>
      </c>
      <c r="E43" s="484">
        <f t="shared" si="6"/>
        <v>117641.60465116279</v>
      </c>
      <c r="F43" s="485">
        <f t="shared" si="7"/>
        <v>2016693.2990033231</v>
      </c>
      <c r="G43" s="486">
        <f t="shared" si="8"/>
        <v>356442.65092391626</v>
      </c>
      <c r="H43" s="455">
        <f t="shared" si="9"/>
        <v>356442.65092391626</v>
      </c>
      <c r="I43" s="475">
        <f t="shared" si="3"/>
        <v>0</v>
      </c>
      <c r="J43" s="475"/>
      <c r="K43" s="487"/>
      <c r="L43" s="478">
        <f t="shared" si="10"/>
        <v>0</v>
      </c>
      <c r="M43" s="487"/>
      <c r="N43" s="478">
        <f t="shared" si="1"/>
        <v>0</v>
      </c>
      <c r="O43" s="478">
        <f t="shared" si="2"/>
        <v>0</v>
      </c>
      <c r="P43" s="243"/>
    </row>
    <row r="44" spans="2:16">
      <c r="B44" s="160" t="str">
        <f t="shared" si="5"/>
        <v/>
      </c>
      <c r="C44" s="472">
        <f>IF(D11="","-",+C43+1)</f>
        <v>2046</v>
      </c>
      <c r="D44" s="483">
        <f>IF(F43+SUM(E$17:E43)=D$10,F43,D$10-SUM(E$17:E43))</f>
        <v>2016693.2990033231</v>
      </c>
      <c r="E44" s="484">
        <f t="shared" si="6"/>
        <v>117641.60465116279</v>
      </c>
      <c r="F44" s="485">
        <f t="shared" si="7"/>
        <v>1899051.6943521602</v>
      </c>
      <c r="G44" s="486">
        <f t="shared" si="8"/>
        <v>342907.23901902192</v>
      </c>
      <c r="H44" s="455">
        <f t="shared" si="9"/>
        <v>342907.23901902192</v>
      </c>
      <c r="I44" s="475">
        <f t="shared" si="3"/>
        <v>0</v>
      </c>
      <c r="J44" s="475"/>
      <c r="K44" s="487"/>
      <c r="L44" s="478">
        <f t="shared" si="10"/>
        <v>0</v>
      </c>
      <c r="M44" s="487"/>
      <c r="N44" s="478">
        <f t="shared" si="1"/>
        <v>0</v>
      </c>
      <c r="O44" s="478">
        <f t="shared" si="2"/>
        <v>0</v>
      </c>
      <c r="P44" s="243"/>
    </row>
    <row r="45" spans="2:16">
      <c r="B45" s="160" t="str">
        <f t="shared" si="5"/>
        <v/>
      </c>
      <c r="C45" s="472">
        <f>IF(D11="","-",+C44+1)</f>
        <v>2047</v>
      </c>
      <c r="D45" s="483">
        <f>IF(F44+SUM(E$17:E44)=D$10,F44,D$10-SUM(E$17:E44))</f>
        <v>1899051.6943521602</v>
      </c>
      <c r="E45" s="484">
        <f t="shared" si="6"/>
        <v>117641.60465116279</v>
      </c>
      <c r="F45" s="485">
        <f t="shared" si="7"/>
        <v>1781410.0897009973</v>
      </c>
      <c r="G45" s="486">
        <f t="shared" si="8"/>
        <v>329371.82711412763</v>
      </c>
      <c r="H45" s="455">
        <f t="shared" si="9"/>
        <v>329371.82711412763</v>
      </c>
      <c r="I45" s="475">
        <f t="shared" si="3"/>
        <v>0</v>
      </c>
      <c r="J45" s="475"/>
      <c r="K45" s="487"/>
      <c r="L45" s="478">
        <f t="shared" si="10"/>
        <v>0</v>
      </c>
      <c r="M45" s="487"/>
      <c r="N45" s="478">
        <f t="shared" si="1"/>
        <v>0</v>
      </c>
      <c r="O45" s="478">
        <f t="shared" si="2"/>
        <v>0</v>
      </c>
      <c r="P45" s="243"/>
    </row>
    <row r="46" spans="2:16">
      <c r="B46" s="160" t="str">
        <f t="shared" si="5"/>
        <v/>
      </c>
      <c r="C46" s="472">
        <f>IF(D11="","-",+C45+1)</f>
        <v>2048</v>
      </c>
      <c r="D46" s="483">
        <f>IF(F45+SUM(E$17:E45)=D$10,F45,D$10-SUM(E$17:E45))</f>
        <v>1781410.0897009973</v>
      </c>
      <c r="E46" s="484">
        <f t="shared" si="6"/>
        <v>117641.60465116279</v>
      </c>
      <c r="F46" s="485">
        <f t="shared" si="7"/>
        <v>1663768.4850498345</v>
      </c>
      <c r="G46" s="486">
        <f t="shared" si="8"/>
        <v>315836.4152092333</v>
      </c>
      <c r="H46" s="455">
        <f t="shared" si="9"/>
        <v>315836.4152092333</v>
      </c>
      <c r="I46" s="475">
        <f t="shared" si="3"/>
        <v>0</v>
      </c>
      <c r="J46" s="475"/>
      <c r="K46" s="487"/>
      <c r="L46" s="478">
        <f t="shared" si="10"/>
        <v>0</v>
      </c>
      <c r="M46" s="487"/>
      <c r="N46" s="478">
        <f t="shared" si="1"/>
        <v>0</v>
      </c>
      <c r="O46" s="478">
        <f t="shared" si="2"/>
        <v>0</v>
      </c>
      <c r="P46" s="243"/>
    </row>
    <row r="47" spans="2:16">
      <c r="B47" s="160" t="str">
        <f t="shared" si="5"/>
        <v/>
      </c>
      <c r="C47" s="472">
        <f>IF(D11="","-",+C46+1)</f>
        <v>2049</v>
      </c>
      <c r="D47" s="483">
        <f>IF(F46+SUM(E$17:E46)=D$10,F46,D$10-SUM(E$17:E46))</f>
        <v>1663768.4850498345</v>
      </c>
      <c r="E47" s="484">
        <f t="shared" si="6"/>
        <v>117641.60465116279</v>
      </c>
      <c r="F47" s="485">
        <f t="shared" si="7"/>
        <v>1546126.8803986716</v>
      </c>
      <c r="G47" s="486">
        <f t="shared" si="8"/>
        <v>302301.00330433896</v>
      </c>
      <c r="H47" s="455">
        <f t="shared" si="9"/>
        <v>302301.00330433896</v>
      </c>
      <c r="I47" s="475">
        <f t="shared" si="3"/>
        <v>0</v>
      </c>
      <c r="J47" s="475"/>
      <c r="K47" s="487"/>
      <c r="L47" s="478">
        <f t="shared" si="10"/>
        <v>0</v>
      </c>
      <c r="M47" s="487"/>
      <c r="N47" s="478">
        <f t="shared" si="1"/>
        <v>0</v>
      </c>
      <c r="O47" s="478">
        <f t="shared" si="2"/>
        <v>0</v>
      </c>
      <c r="P47" s="243"/>
    </row>
    <row r="48" spans="2:16">
      <c r="B48" s="160" t="str">
        <f t="shared" si="5"/>
        <v/>
      </c>
      <c r="C48" s="472">
        <f>IF(D11="","-",+C47+1)</f>
        <v>2050</v>
      </c>
      <c r="D48" s="483">
        <f>IF(F47+SUM(E$17:E47)=D$10,F47,D$10-SUM(E$17:E47))</f>
        <v>1546126.8803986716</v>
      </c>
      <c r="E48" s="484">
        <f t="shared" si="6"/>
        <v>117641.60465116279</v>
      </c>
      <c r="F48" s="485">
        <f t="shared" si="7"/>
        <v>1428485.2757475087</v>
      </c>
      <c r="G48" s="486">
        <f t="shared" si="8"/>
        <v>288765.59139944462</v>
      </c>
      <c r="H48" s="455">
        <f t="shared" si="9"/>
        <v>288765.59139944462</v>
      </c>
      <c r="I48" s="475">
        <f t="shared" si="3"/>
        <v>0</v>
      </c>
      <c r="J48" s="475"/>
      <c r="K48" s="487"/>
      <c r="L48" s="478">
        <f t="shared" si="10"/>
        <v>0</v>
      </c>
      <c r="M48" s="487"/>
      <c r="N48" s="478">
        <f t="shared" si="1"/>
        <v>0</v>
      </c>
      <c r="O48" s="478">
        <f t="shared" si="2"/>
        <v>0</v>
      </c>
      <c r="P48" s="243"/>
    </row>
    <row r="49" spans="2:16">
      <c r="B49" s="160" t="str">
        <f t="shared" si="5"/>
        <v/>
      </c>
      <c r="C49" s="472">
        <f>IF(D11="","-",+C48+1)</f>
        <v>2051</v>
      </c>
      <c r="D49" s="483">
        <f>IF(F48+SUM(E$17:E48)=D$10,F48,D$10-SUM(E$17:E48))</f>
        <v>1428485.2757475087</v>
      </c>
      <c r="E49" s="484">
        <f t="shared" si="6"/>
        <v>117641.60465116279</v>
      </c>
      <c r="F49" s="485">
        <f t="shared" si="7"/>
        <v>1310843.6710963459</v>
      </c>
      <c r="G49" s="486">
        <f t="shared" si="8"/>
        <v>275230.17949455028</v>
      </c>
      <c r="H49" s="455">
        <f t="shared" si="9"/>
        <v>275230.17949455028</v>
      </c>
      <c r="I49" s="475">
        <f t="shared" si="3"/>
        <v>0</v>
      </c>
      <c r="J49" s="475"/>
      <c r="K49" s="487"/>
      <c r="L49" s="478">
        <f t="shared" si="10"/>
        <v>0</v>
      </c>
      <c r="M49" s="487"/>
      <c r="N49" s="478">
        <f t="shared" si="1"/>
        <v>0</v>
      </c>
      <c r="O49" s="478">
        <f t="shared" si="2"/>
        <v>0</v>
      </c>
      <c r="P49" s="243"/>
    </row>
    <row r="50" spans="2:16">
      <c r="B50" s="160" t="str">
        <f t="shared" si="5"/>
        <v/>
      </c>
      <c r="C50" s="472">
        <f>IF(D11="","-",+C49+1)</f>
        <v>2052</v>
      </c>
      <c r="D50" s="483">
        <f>IF(F49+SUM(E$17:E49)=D$10,F49,D$10-SUM(E$17:E49))</f>
        <v>1310843.6710963459</v>
      </c>
      <c r="E50" s="484">
        <f t="shared" si="6"/>
        <v>117641.60465116279</v>
      </c>
      <c r="F50" s="485">
        <f t="shared" si="7"/>
        <v>1193202.066445183</v>
      </c>
      <c r="G50" s="486">
        <f t="shared" si="8"/>
        <v>261694.76758965594</v>
      </c>
      <c r="H50" s="455">
        <f t="shared" si="9"/>
        <v>261694.76758965594</v>
      </c>
      <c r="I50" s="475">
        <f t="shared" si="3"/>
        <v>0</v>
      </c>
      <c r="J50" s="475"/>
      <c r="K50" s="487"/>
      <c r="L50" s="478">
        <f t="shared" si="10"/>
        <v>0</v>
      </c>
      <c r="M50" s="487"/>
      <c r="N50" s="478">
        <f t="shared" si="1"/>
        <v>0</v>
      </c>
      <c r="O50" s="478">
        <f t="shared" si="2"/>
        <v>0</v>
      </c>
      <c r="P50" s="243"/>
    </row>
    <row r="51" spans="2:16">
      <c r="B51" s="160" t="str">
        <f t="shared" si="5"/>
        <v/>
      </c>
      <c r="C51" s="472">
        <f>IF(D11="","-",+C50+1)</f>
        <v>2053</v>
      </c>
      <c r="D51" s="483">
        <f>IF(F50+SUM(E$17:E50)=D$10,F50,D$10-SUM(E$17:E50))</f>
        <v>1193202.066445183</v>
      </c>
      <c r="E51" s="484">
        <f t="shared" si="6"/>
        <v>117641.60465116279</v>
      </c>
      <c r="F51" s="485">
        <f t="shared" si="7"/>
        <v>1075560.4617940201</v>
      </c>
      <c r="G51" s="486">
        <f t="shared" si="8"/>
        <v>248159.3556847616</v>
      </c>
      <c r="H51" s="455">
        <f t="shared" si="9"/>
        <v>248159.3556847616</v>
      </c>
      <c r="I51" s="475">
        <f t="shared" si="3"/>
        <v>0</v>
      </c>
      <c r="J51" s="475"/>
      <c r="K51" s="487"/>
      <c r="L51" s="478">
        <f t="shared" si="10"/>
        <v>0</v>
      </c>
      <c r="M51" s="487"/>
      <c r="N51" s="478">
        <f t="shared" si="1"/>
        <v>0</v>
      </c>
      <c r="O51" s="478">
        <f t="shared" si="2"/>
        <v>0</v>
      </c>
      <c r="P51" s="243"/>
    </row>
    <row r="52" spans="2:16">
      <c r="B52" s="160" t="str">
        <f t="shared" si="5"/>
        <v/>
      </c>
      <c r="C52" s="472">
        <f>IF(D11="","-",+C51+1)</f>
        <v>2054</v>
      </c>
      <c r="D52" s="483">
        <f>IF(F51+SUM(E$17:E51)=D$10,F51,D$10-SUM(E$17:E51))</f>
        <v>1075560.4617940201</v>
      </c>
      <c r="E52" s="484">
        <f t="shared" si="6"/>
        <v>117641.60465116279</v>
      </c>
      <c r="F52" s="485">
        <f t="shared" si="7"/>
        <v>957918.85714285739</v>
      </c>
      <c r="G52" s="486">
        <f t="shared" si="8"/>
        <v>234623.94377986729</v>
      </c>
      <c r="H52" s="455">
        <f t="shared" si="9"/>
        <v>234623.94377986729</v>
      </c>
      <c r="I52" s="475">
        <f t="shared" si="3"/>
        <v>0</v>
      </c>
      <c r="J52" s="475"/>
      <c r="K52" s="487"/>
      <c r="L52" s="478">
        <f t="shared" si="10"/>
        <v>0</v>
      </c>
      <c r="M52" s="487"/>
      <c r="N52" s="478">
        <f t="shared" si="1"/>
        <v>0</v>
      </c>
      <c r="O52" s="478">
        <f t="shared" si="2"/>
        <v>0</v>
      </c>
      <c r="P52" s="243"/>
    </row>
    <row r="53" spans="2:16">
      <c r="B53" s="160" t="str">
        <f t="shared" si="5"/>
        <v/>
      </c>
      <c r="C53" s="472">
        <f>IF(D11="","-",+C52+1)</f>
        <v>2055</v>
      </c>
      <c r="D53" s="483">
        <f>IF(F52+SUM(E$17:E52)=D$10,F52,D$10-SUM(E$17:E52))</f>
        <v>957918.85714285739</v>
      </c>
      <c r="E53" s="484">
        <f t="shared" si="6"/>
        <v>117641.60465116279</v>
      </c>
      <c r="F53" s="485">
        <f t="shared" si="7"/>
        <v>840277.25249169464</v>
      </c>
      <c r="G53" s="486">
        <f t="shared" si="8"/>
        <v>221088.53187497298</v>
      </c>
      <c r="H53" s="455">
        <f t="shared" si="9"/>
        <v>221088.53187497298</v>
      </c>
      <c r="I53" s="475">
        <f t="shared" si="3"/>
        <v>0</v>
      </c>
      <c r="J53" s="475"/>
      <c r="K53" s="487"/>
      <c r="L53" s="478">
        <f t="shared" si="10"/>
        <v>0</v>
      </c>
      <c r="M53" s="487"/>
      <c r="N53" s="478">
        <f t="shared" si="1"/>
        <v>0</v>
      </c>
      <c r="O53" s="478">
        <f t="shared" si="2"/>
        <v>0</v>
      </c>
      <c r="P53" s="243"/>
    </row>
    <row r="54" spans="2:16">
      <c r="B54" s="160" t="str">
        <f t="shared" si="5"/>
        <v/>
      </c>
      <c r="C54" s="472">
        <f>IF(D11="","-",+C53+1)</f>
        <v>2056</v>
      </c>
      <c r="D54" s="483">
        <f>IF(F53+SUM(E$17:E53)=D$10,F53,D$10-SUM(E$17:E53))</f>
        <v>840277.25249169464</v>
      </c>
      <c r="E54" s="484">
        <f t="shared" si="6"/>
        <v>117641.60465116279</v>
      </c>
      <c r="F54" s="485">
        <f t="shared" si="7"/>
        <v>722635.64784053189</v>
      </c>
      <c r="G54" s="486">
        <f t="shared" si="8"/>
        <v>207553.11997007864</v>
      </c>
      <c r="H54" s="455">
        <f t="shared" si="9"/>
        <v>207553.11997007864</v>
      </c>
      <c r="I54" s="475">
        <f t="shared" si="3"/>
        <v>0</v>
      </c>
      <c r="J54" s="475"/>
      <c r="K54" s="487"/>
      <c r="L54" s="478">
        <f t="shared" si="10"/>
        <v>0</v>
      </c>
      <c r="M54" s="487"/>
      <c r="N54" s="478">
        <f t="shared" si="1"/>
        <v>0</v>
      </c>
      <c r="O54" s="478">
        <f t="shared" si="2"/>
        <v>0</v>
      </c>
      <c r="P54" s="243"/>
    </row>
    <row r="55" spans="2:16">
      <c r="B55" s="160" t="str">
        <f t="shared" si="5"/>
        <v/>
      </c>
      <c r="C55" s="472">
        <f>IF(D11="","-",+C54+1)</f>
        <v>2057</v>
      </c>
      <c r="D55" s="483">
        <f>IF(F54+SUM(E$17:E54)=D$10,F54,D$10-SUM(E$17:E54))</f>
        <v>722635.64784053189</v>
      </c>
      <c r="E55" s="484">
        <f t="shared" si="6"/>
        <v>117641.60465116279</v>
      </c>
      <c r="F55" s="485">
        <f t="shared" si="7"/>
        <v>604994.04318936914</v>
      </c>
      <c r="G55" s="486">
        <f t="shared" si="8"/>
        <v>194017.70806518436</v>
      </c>
      <c r="H55" s="455">
        <f t="shared" si="9"/>
        <v>194017.70806518436</v>
      </c>
      <c r="I55" s="475">
        <f t="shared" si="3"/>
        <v>0</v>
      </c>
      <c r="J55" s="475"/>
      <c r="K55" s="487"/>
      <c r="L55" s="478">
        <f t="shared" si="10"/>
        <v>0</v>
      </c>
      <c r="M55" s="487"/>
      <c r="N55" s="478">
        <f t="shared" si="1"/>
        <v>0</v>
      </c>
      <c r="O55" s="478">
        <f t="shared" si="2"/>
        <v>0</v>
      </c>
      <c r="P55" s="243"/>
    </row>
    <row r="56" spans="2:16">
      <c r="B56" s="160" t="str">
        <f t="shared" si="5"/>
        <v/>
      </c>
      <c r="C56" s="472">
        <f>IF(D11="","-",+C55+1)</f>
        <v>2058</v>
      </c>
      <c r="D56" s="483">
        <f>IF(F55+SUM(E$17:E55)=D$10,F55,D$10-SUM(E$17:E55))</f>
        <v>604994.04318936914</v>
      </c>
      <c r="E56" s="484">
        <f t="shared" si="6"/>
        <v>117641.60465116279</v>
      </c>
      <c r="F56" s="485">
        <f t="shared" si="7"/>
        <v>487352.43853820633</v>
      </c>
      <c r="G56" s="486">
        <f t="shared" si="8"/>
        <v>180482.29616029002</v>
      </c>
      <c r="H56" s="455">
        <f t="shared" si="9"/>
        <v>180482.29616029002</v>
      </c>
      <c r="I56" s="475">
        <f t="shared" si="3"/>
        <v>0</v>
      </c>
      <c r="J56" s="475"/>
      <c r="K56" s="487"/>
      <c r="L56" s="478">
        <f t="shared" si="10"/>
        <v>0</v>
      </c>
      <c r="M56" s="487"/>
      <c r="N56" s="478">
        <f t="shared" si="1"/>
        <v>0</v>
      </c>
      <c r="O56" s="478">
        <f t="shared" si="2"/>
        <v>0</v>
      </c>
      <c r="P56" s="243"/>
    </row>
    <row r="57" spans="2:16">
      <c r="B57" s="160" t="str">
        <f t="shared" si="5"/>
        <v/>
      </c>
      <c r="C57" s="472">
        <f>IF(D11="","-",+C56+1)</f>
        <v>2059</v>
      </c>
      <c r="D57" s="483">
        <f>IF(F56+SUM(E$17:E56)=D$10,F56,D$10-SUM(E$17:E56))</f>
        <v>487352.43853820633</v>
      </c>
      <c r="E57" s="484">
        <f t="shared" si="6"/>
        <v>117641.60465116279</v>
      </c>
      <c r="F57" s="485">
        <f t="shared" si="7"/>
        <v>369710.83388704353</v>
      </c>
      <c r="G57" s="486">
        <f t="shared" si="8"/>
        <v>166946.88425539568</v>
      </c>
      <c r="H57" s="455">
        <f t="shared" si="9"/>
        <v>166946.88425539568</v>
      </c>
      <c r="I57" s="475">
        <f t="shared" si="3"/>
        <v>0</v>
      </c>
      <c r="J57" s="475"/>
      <c r="K57" s="487"/>
      <c r="L57" s="478">
        <f t="shared" si="10"/>
        <v>0</v>
      </c>
      <c r="M57" s="487"/>
      <c r="N57" s="478">
        <f t="shared" si="1"/>
        <v>0</v>
      </c>
      <c r="O57" s="478">
        <f t="shared" si="2"/>
        <v>0</v>
      </c>
      <c r="P57" s="243"/>
    </row>
    <row r="58" spans="2:16">
      <c r="B58" s="160" t="str">
        <f t="shared" si="5"/>
        <v/>
      </c>
      <c r="C58" s="472">
        <f>IF(D11="","-",+C57+1)</f>
        <v>2060</v>
      </c>
      <c r="D58" s="483">
        <f>IF(F57+SUM(E$17:E57)=D$10,F57,D$10-SUM(E$17:E57))</f>
        <v>369710.83388704353</v>
      </c>
      <c r="E58" s="484">
        <f t="shared" si="6"/>
        <v>117641.60465116279</v>
      </c>
      <c r="F58" s="485">
        <f t="shared" si="7"/>
        <v>252069.22923588072</v>
      </c>
      <c r="G58" s="486">
        <f t="shared" si="8"/>
        <v>153411.47235050137</v>
      </c>
      <c r="H58" s="455">
        <f t="shared" si="9"/>
        <v>153411.47235050137</v>
      </c>
      <c r="I58" s="475">
        <f t="shared" si="3"/>
        <v>0</v>
      </c>
      <c r="J58" s="475"/>
      <c r="K58" s="487"/>
      <c r="L58" s="478">
        <f t="shared" si="10"/>
        <v>0</v>
      </c>
      <c r="M58" s="487"/>
      <c r="N58" s="478">
        <f t="shared" si="1"/>
        <v>0</v>
      </c>
      <c r="O58" s="478">
        <f t="shared" si="2"/>
        <v>0</v>
      </c>
      <c r="P58" s="243"/>
    </row>
    <row r="59" spans="2:16">
      <c r="B59" s="160" t="str">
        <f t="shared" si="5"/>
        <v/>
      </c>
      <c r="C59" s="472">
        <f>IF(D11="","-",+C58+1)</f>
        <v>2061</v>
      </c>
      <c r="D59" s="483">
        <f>IF(F58+SUM(E$17:E58)=D$10,F58,D$10-SUM(E$17:E58))</f>
        <v>252069.22923588072</v>
      </c>
      <c r="E59" s="484">
        <f t="shared" si="6"/>
        <v>117641.60465116279</v>
      </c>
      <c r="F59" s="485">
        <f t="shared" si="7"/>
        <v>134427.62458471791</v>
      </c>
      <c r="G59" s="486">
        <f t="shared" si="8"/>
        <v>139876.06044560703</v>
      </c>
      <c r="H59" s="455">
        <f t="shared" si="9"/>
        <v>139876.06044560703</v>
      </c>
      <c r="I59" s="475">
        <f t="shared" si="3"/>
        <v>0</v>
      </c>
      <c r="J59" s="475"/>
      <c r="K59" s="487"/>
      <c r="L59" s="478">
        <f t="shared" si="10"/>
        <v>0</v>
      </c>
      <c r="M59" s="487"/>
      <c r="N59" s="478">
        <f t="shared" si="1"/>
        <v>0</v>
      </c>
      <c r="O59" s="478">
        <f t="shared" si="2"/>
        <v>0</v>
      </c>
      <c r="P59" s="243"/>
    </row>
    <row r="60" spans="2:16">
      <c r="B60" s="160" t="str">
        <f t="shared" si="5"/>
        <v/>
      </c>
      <c r="C60" s="472">
        <f>IF(D11="","-",+C59+1)</f>
        <v>2062</v>
      </c>
      <c r="D60" s="483">
        <f>IF(F59+SUM(E$17:E59)=D$10,F59,D$10-SUM(E$17:E59))</f>
        <v>134427.62458471791</v>
      </c>
      <c r="E60" s="484">
        <f t="shared" si="6"/>
        <v>117641.60465116279</v>
      </c>
      <c r="F60" s="485">
        <f t="shared" si="7"/>
        <v>16786.019933555115</v>
      </c>
      <c r="G60" s="486">
        <f t="shared" si="8"/>
        <v>126340.64854071272</v>
      </c>
      <c r="H60" s="455">
        <f t="shared" si="9"/>
        <v>126340.64854071272</v>
      </c>
      <c r="I60" s="475">
        <f t="shared" si="3"/>
        <v>0</v>
      </c>
      <c r="J60" s="475"/>
      <c r="K60" s="487"/>
      <c r="L60" s="478">
        <f t="shared" si="10"/>
        <v>0</v>
      </c>
      <c r="M60" s="487"/>
      <c r="N60" s="478">
        <f t="shared" si="1"/>
        <v>0</v>
      </c>
      <c r="O60" s="478">
        <f t="shared" si="2"/>
        <v>0</v>
      </c>
      <c r="P60" s="243"/>
    </row>
    <row r="61" spans="2:16">
      <c r="B61" s="160" t="str">
        <f t="shared" si="5"/>
        <v/>
      </c>
      <c r="C61" s="472">
        <f>IF(D11="","-",+C60+1)</f>
        <v>2063</v>
      </c>
      <c r="D61" s="483">
        <f>IF(F60+SUM(E$17:E60)=D$10,F60,D$10-SUM(E$17:E60))</f>
        <v>16786.019933555115</v>
      </c>
      <c r="E61" s="484">
        <f t="shared" si="6"/>
        <v>16786.019933555115</v>
      </c>
      <c r="F61" s="485">
        <f t="shared" si="7"/>
        <v>0</v>
      </c>
      <c r="G61" s="486">
        <f t="shared" si="8"/>
        <v>17751.688902106496</v>
      </c>
      <c r="H61" s="455">
        <f t="shared" si="9"/>
        <v>17751.688902106496</v>
      </c>
      <c r="I61" s="475">
        <f t="shared" si="3"/>
        <v>0</v>
      </c>
      <c r="J61" s="475"/>
      <c r="K61" s="487"/>
      <c r="L61" s="478">
        <f t="shared" si="10"/>
        <v>0</v>
      </c>
      <c r="M61" s="487"/>
      <c r="N61" s="478">
        <f t="shared" si="1"/>
        <v>0</v>
      </c>
      <c r="O61" s="478">
        <f t="shared" si="2"/>
        <v>0</v>
      </c>
      <c r="P61" s="243"/>
    </row>
    <row r="62" spans="2:16">
      <c r="B62" s="160" t="str">
        <f t="shared" si="5"/>
        <v/>
      </c>
      <c r="C62" s="472">
        <f>IF(D11="","-",+C61+1)</f>
        <v>2064</v>
      </c>
      <c r="D62" s="483">
        <f>IF(F61+SUM(E$17:E61)=D$10,F61,D$10-SUM(E$17:E61))</f>
        <v>0</v>
      </c>
      <c r="E62" s="484">
        <f t="shared" si="6"/>
        <v>0</v>
      </c>
      <c r="F62" s="485">
        <f t="shared" si="7"/>
        <v>0</v>
      </c>
      <c r="G62" s="486">
        <f t="shared" si="8"/>
        <v>0</v>
      </c>
      <c r="H62" s="455">
        <f t="shared" si="9"/>
        <v>0</v>
      </c>
      <c r="I62" s="475">
        <f t="shared" si="3"/>
        <v>0</v>
      </c>
      <c r="J62" s="475"/>
      <c r="K62" s="487"/>
      <c r="L62" s="478">
        <f t="shared" si="10"/>
        <v>0</v>
      </c>
      <c r="M62" s="487"/>
      <c r="N62" s="478">
        <f t="shared" si="1"/>
        <v>0</v>
      </c>
      <c r="O62" s="478">
        <f t="shared" si="2"/>
        <v>0</v>
      </c>
      <c r="P62" s="243"/>
    </row>
    <row r="63" spans="2:16">
      <c r="B63" s="160" t="str">
        <f t="shared" si="5"/>
        <v/>
      </c>
      <c r="C63" s="472">
        <f>IF(D11="","-",+C62+1)</f>
        <v>2065</v>
      </c>
      <c r="D63" s="483">
        <f>IF(F62+SUM(E$17:E62)=D$10,F62,D$10-SUM(E$17:E62))</f>
        <v>0</v>
      </c>
      <c r="E63" s="484">
        <f t="shared" si="6"/>
        <v>0</v>
      </c>
      <c r="F63" s="485">
        <f t="shared" si="7"/>
        <v>0</v>
      </c>
      <c r="G63" s="486">
        <f t="shared" si="8"/>
        <v>0</v>
      </c>
      <c r="H63" s="455">
        <f t="shared" si="9"/>
        <v>0</v>
      </c>
      <c r="I63" s="475">
        <f t="shared" si="3"/>
        <v>0</v>
      </c>
      <c r="J63" s="475"/>
      <c r="K63" s="487"/>
      <c r="L63" s="478">
        <f t="shared" si="10"/>
        <v>0</v>
      </c>
      <c r="M63" s="487"/>
      <c r="N63" s="478">
        <f t="shared" si="1"/>
        <v>0</v>
      </c>
      <c r="O63" s="478">
        <f t="shared" si="2"/>
        <v>0</v>
      </c>
      <c r="P63" s="243"/>
    </row>
    <row r="64" spans="2:16">
      <c r="B64" s="160" t="str">
        <f t="shared" si="5"/>
        <v/>
      </c>
      <c r="C64" s="472">
        <f>IF(D11="","-",+C63+1)</f>
        <v>2066</v>
      </c>
      <c r="D64" s="483">
        <f>IF(F63+SUM(E$17:E63)=D$10,F63,D$10-SUM(E$17:E63))</f>
        <v>0</v>
      </c>
      <c r="E64" s="484">
        <f t="shared" si="6"/>
        <v>0</v>
      </c>
      <c r="F64" s="485">
        <f t="shared" si="7"/>
        <v>0</v>
      </c>
      <c r="G64" s="486">
        <f t="shared" si="8"/>
        <v>0</v>
      </c>
      <c r="H64" s="455">
        <f t="shared" si="9"/>
        <v>0</v>
      </c>
      <c r="I64" s="475">
        <f t="shared" si="3"/>
        <v>0</v>
      </c>
      <c r="J64" s="475"/>
      <c r="K64" s="487"/>
      <c r="L64" s="478">
        <f t="shared" si="10"/>
        <v>0</v>
      </c>
      <c r="M64" s="487"/>
      <c r="N64" s="478">
        <f t="shared" si="1"/>
        <v>0</v>
      </c>
      <c r="O64" s="478">
        <f t="shared" si="2"/>
        <v>0</v>
      </c>
      <c r="P64" s="243"/>
    </row>
    <row r="65" spans="2:16">
      <c r="B65" s="160" t="str">
        <f t="shared" si="5"/>
        <v/>
      </c>
      <c r="C65" s="472">
        <f>IF(D11="","-",+C64+1)</f>
        <v>2067</v>
      </c>
      <c r="D65" s="483">
        <f>IF(F64+SUM(E$17:E64)=D$10,F64,D$10-SUM(E$17:E64))</f>
        <v>0</v>
      </c>
      <c r="E65" s="484">
        <f t="shared" si="6"/>
        <v>0</v>
      </c>
      <c r="F65" s="485">
        <f t="shared" si="7"/>
        <v>0</v>
      </c>
      <c r="G65" s="486">
        <f t="shared" si="8"/>
        <v>0</v>
      </c>
      <c r="H65" s="455">
        <f t="shared" si="9"/>
        <v>0</v>
      </c>
      <c r="I65" s="475">
        <f t="shared" si="3"/>
        <v>0</v>
      </c>
      <c r="J65" s="475"/>
      <c r="K65" s="487"/>
      <c r="L65" s="478">
        <f t="shared" si="10"/>
        <v>0</v>
      </c>
      <c r="M65" s="487"/>
      <c r="N65" s="478">
        <f t="shared" si="1"/>
        <v>0</v>
      </c>
      <c r="O65" s="478">
        <f t="shared" si="2"/>
        <v>0</v>
      </c>
      <c r="P65" s="243"/>
    </row>
    <row r="66" spans="2:16">
      <c r="B66" s="160" t="str">
        <f t="shared" si="5"/>
        <v/>
      </c>
      <c r="C66" s="472">
        <f>IF(D11="","-",+C65+1)</f>
        <v>2068</v>
      </c>
      <c r="D66" s="483">
        <f>IF(F65+SUM(E$17:E65)=D$10,F65,D$10-SUM(E$17:E65))</f>
        <v>0</v>
      </c>
      <c r="E66" s="484">
        <f t="shared" si="6"/>
        <v>0</v>
      </c>
      <c r="F66" s="485">
        <f t="shared" si="7"/>
        <v>0</v>
      </c>
      <c r="G66" s="486">
        <f t="shared" si="8"/>
        <v>0</v>
      </c>
      <c r="H66" s="455">
        <f t="shared" si="9"/>
        <v>0</v>
      </c>
      <c r="I66" s="475">
        <f t="shared" si="3"/>
        <v>0</v>
      </c>
      <c r="J66" s="475"/>
      <c r="K66" s="487"/>
      <c r="L66" s="478">
        <f t="shared" si="10"/>
        <v>0</v>
      </c>
      <c r="M66" s="487"/>
      <c r="N66" s="478">
        <f t="shared" si="1"/>
        <v>0</v>
      </c>
      <c r="O66" s="478">
        <f t="shared" si="2"/>
        <v>0</v>
      </c>
      <c r="P66" s="243"/>
    </row>
    <row r="67" spans="2:16">
      <c r="B67" s="160" t="str">
        <f t="shared" si="5"/>
        <v/>
      </c>
      <c r="C67" s="472">
        <f>IF(D11="","-",+C66+1)</f>
        <v>2069</v>
      </c>
      <c r="D67" s="483">
        <f>IF(F66+SUM(E$17:E66)=D$10,F66,D$10-SUM(E$17:E66))</f>
        <v>0</v>
      </c>
      <c r="E67" s="484">
        <f t="shared" si="6"/>
        <v>0</v>
      </c>
      <c r="F67" s="485">
        <f t="shared" si="7"/>
        <v>0</v>
      </c>
      <c r="G67" s="486">
        <f t="shared" si="8"/>
        <v>0</v>
      </c>
      <c r="H67" s="455">
        <f t="shared" si="9"/>
        <v>0</v>
      </c>
      <c r="I67" s="475">
        <f t="shared" si="3"/>
        <v>0</v>
      </c>
      <c r="J67" s="475"/>
      <c r="K67" s="487"/>
      <c r="L67" s="478">
        <f t="shared" si="10"/>
        <v>0</v>
      </c>
      <c r="M67" s="487"/>
      <c r="N67" s="478">
        <f t="shared" si="1"/>
        <v>0</v>
      </c>
      <c r="O67" s="478">
        <f t="shared" si="2"/>
        <v>0</v>
      </c>
      <c r="P67" s="243"/>
    </row>
    <row r="68" spans="2:16">
      <c r="B68" s="160" t="str">
        <f t="shared" si="5"/>
        <v/>
      </c>
      <c r="C68" s="472">
        <f>IF(D11="","-",+C67+1)</f>
        <v>2070</v>
      </c>
      <c r="D68" s="483">
        <f>IF(F67+SUM(E$17:E67)=D$10,F67,D$10-SUM(E$17:E67))</f>
        <v>0</v>
      </c>
      <c r="E68" s="484">
        <f t="shared" si="6"/>
        <v>0</v>
      </c>
      <c r="F68" s="485">
        <f t="shared" si="7"/>
        <v>0</v>
      </c>
      <c r="G68" s="486">
        <f t="shared" si="8"/>
        <v>0</v>
      </c>
      <c r="H68" s="455">
        <f t="shared" si="9"/>
        <v>0</v>
      </c>
      <c r="I68" s="475">
        <f t="shared" si="3"/>
        <v>0</v>
      </c>
      <c r="J68" s="475"/>
      <c r="K68" s="487"/>
      <c r="L68" s="478">
        <f t="shared" si="10"/>
        <v>0</v>
      </c>
      <c r="M68" s="487"/>
      <c r="N68" s="478">
        <f t="shared" si="1"/>
        <v>0</v>
      </c>
      <c r="O68" s="478">
        <f t="shared" si="2"/>
        <v>0</v>
      </c>
      <c r="P68" s="243"/>
    </row>
    <row r="69" spans="2:16">
      <c r="B69" s="160" t="str">
        <f t="shared" si="5"/>
        <v/>
      </c>
      <c r="C69" s="472">
        <f>IF(D11="","-",+C68+1)</f>
        <v>2071</v>
      </c>
      <c r="D69" s="483">
        <f>IF(F68+SUM(E$17:E68)=D$10,F68,D$10-SUM(E$17:E68))</f>
        <v>0</v>
      </c>
      <c r="E69" s="484">
        <f t="shared" si="6"/>
        <v>0</v>
      </c>
      <c r="F69" s="485">
        <f t="shared" si="7"/>
        <v>0</v>
      </c>
      <c r="G69" s="486">
        <f t="shared" si="8"/>
        <v>0</v>
      </c>
      <c r="H69" s="455">
        <f t="shared" si="9"/>
        <v>0</v>
      </c>
      <c r="I69" s="475">
        <f t="shared" si="3"/>
        <v>0</v>
      </c>
      <c r="J69" s="475"/>
      <c r="K69" s="487"/>
      <c r="L69" s="478">
        <f t="shared" si="10"/>
        <v>0</v>
      </c>
      <c r="M69" s="487"/>
      <c r="N69" s="478">
        <f t="shared" si="1"/>
        <v>0</v>
      </c>
      <c r="O69" s="478">
        <f t="shared" si="2"/>
        <v>0</v>
      </c>
      <c r="P69" s="243"/>
    </row>
    <row r="70" spans="2:16">
      <c r="B70" s="160" t="str">
        <f t="shared" si="5"/>
        <v/>
      </c>
      <c r="C70" s="472">
        <f>IF(D11="","-",+C69+1)</f>
        <v>2072</v>
      </c>
      <c r="D70" s="483">
        <f>IF(F69+SUM(E$17:E69)=D$10,F69,D$10-SUM(E$17:E69))</f>
        <v>0</v>
      </c>
      <c r="E70" s="484">
        <f t="shared" si="6"/>
        <v>0</v>
      </c>
      <c r="F70" s="485">
        <f t="shared" si="7"/>
        <v>0</v>
      </c>
      <c r="G70" s="486">
        <f t="shared" si="8"/>
        <v>0</v>
      </c>
      <c r="H70" s="455">
        <f t="shared" si="9"/>
        <v>0</v>
      </c>
      <c r="I70" s="475">
        <f t="shared" si="3"/>
        <v>0</v>
      </c>
      <c r="J70" s="475"/>
      <c r="K70" s="487"/>
      <c r="L70" s="478">
        <f t="shared" si="10"/>
        <v>0</v>
      </c>
      <c r="M70" s="487"/>
      <c r="N70" s="478">
        <f t="shared" si="1"/>
        <v>0</v>
      </c>
      <c r="O70" s="478">
        <f t="shared" si="2"/>
        <v>0</v>
      </c>
      <c r="P70" s="243"/>
    </row>
    <row r="71" spans="2:16">
      <c r="B71" s="160" t="str">
        <f t="shared" si="5"/>
        <v/>
      </c>
      <c r="C71" s="472">
        <f>IF(D11="","-",+C70+1)</f>
        <v>2073</v>
      </c>
      <c r="D71" s="483">
        <f>IF(F70+SUM(E$17:E70)=D$10,F70,D$10-SUM(E$17:E70))</f>
        <v>0</v>
      </c>
      <c r="E71" s="484">
        <f t="shared" si="6"/>
        <v>0</v>
      </c>
      <c r="F71" s="485">
        <f t="shared" si="7"/>
        <v>0</v>
      </c>
      <c r="G71" s="486">
        <f t="shared" si="8"/>
        <v>0</v>
      </c>
      <c r="H71" s="455">
        <f t="shared" si="9"/>
        <v>0</v>
      </c>
      <c r="I71" s="475">
        <f t="shared" si="3"/>
        <v>0</v>
      </c>
      <c r="J71" s="475"/>
      <c r="K71" s="487"/>
      <c r="L71" s="478">
        <f t="shared" si="10"/>
        <v>0</v>
      </c>
      <c r="M71" s="487"/>
      <c r="N71" s="478">
        <f t="shared" si="1"/>
        <v>0</v>
      </c>
      <c r="O71" s="478">
        <f t="shared" si="2"/>
        <v>0</v>
      </c>
      <c r="P71" s="243"/>
    </row>
    <row r="72" spans="2:16" ht="13.5" thickBot="1">
      <c r="B72" s="160" t="str">
        <f t="shared" si="5"/>
        <v/>
      </c>
      <c r="C72" s="489">
        <f>IF(D11="","-",+C71+1)</f>
        <v>2074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10"/>
        <v>0</v>
      </c>
      <c r="M72" s="494"/>
      <c r="N72" s="495">
        <f t="shared" si="1"/>
        <v>0</v>
      </c>
      <c r="O72" s="495">
        <f t="shared" si="2"/>
        <v>0</v>
      </c>
      <c r="P72" s="243"/>
    </row>
    <row r="73" spans="2:16">
      <c r="C73" s="347" t="s">
        <v>77</v>
      </c>
      <c r="D73" s="348"/>
      <c r="E73" s="348">
        <f>SUM(E17:E72)</f>
        <v>5058588.9999999991</v>
      </c>
      <c r="F73" s="348"/>
      <c r="G73" s="348">
        <f>SUM(G17:G72)</f>
        <v>17725529.141692664</v>
      </c>
      <c r="H73" s="348">
        <f>SUM(H17:H72)</f>
        <v>17725529.141692664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27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645841.5888943586</v>
      </c>
      <c r="N87" s="508">
        <f>IF(J92&lt;D11,0,VLOOKUP(J92,C17:O72,11))</f>
        <v>645841.5888943586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668074.55118974927</v>
      </c>
      <c r="N88" s="512">
        <f>IF(J92&lt;D11,0,VLOOKUP(J92,C99:P154,7))</f>
        <v>668074.55118974927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Broken Arrow North-Lynn Lane East 138 kV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22232.962295390666</v>
      </c>
      <c r="N89" s="517">
        <f>+N88-N87</f>
        <v>22232.962295390666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TP2017016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5058589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v>2019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3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123380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2019</v>
      </c>
      <c r="D99" s="584">
        <v>0</v>
      </c>
      <c r="E99" s="608">
        <v>92534.25</v>
      </c>
      <c r="F99" s="584">
        <v>4965987.75</v>
      </c>
      <c r="G99" s="608">
        <v>2482993.875</v>
      </c>
      <c r="H99" s="587">
        <v>348565.74518479535</v>
      </c>
      <c r="I99" s="607">
        <v>348565.74518479535</v>
      </c>
      <c r="J99" s="478">
        <f>+I99-H99</f>
        <v>0</v>
      </c>
      <c r="K99" s="478"/>
      <c r="L99" s="477">
        <f>+H99</f>
        <v>348565.74518479535</v>
      </c>
      <c r="M99" s="477">
        <f t="shared" ref="M99" si="11">IF(L99&lt;&gt;0,+H99-L99,0)</f>
        <v>0</v>
      </c>
      <c r="N99" s="477">
        <f>+I99</f>
        <v>348565.74518479535</v>
      </c>
      <c r="O99" s="477">
        <f t="shared" ref="O99:O130" si="12">IF(N99&lt;&gt;0,+I99-N99,0)</f>
        <v>0</v>
      </c>
      <c r="P99" s="477">
        <f t="shared" ref="P99:P130" si="13">+O99-M99</f>
        <v>0</v>
      </c>
    </row>
    <row r="100" spans="1:16">
      <c r="B100" s="160" t="str">
        <f>IF(D100=F99,"","IU")</f>
        <v>IU</v>
      </c>
      <c r="C100" s="472">
        <f>IF(D93="","-",+C99+1)</f>
        <v>2020</v>
      </c>
      <c r="D100" s="584">
        <v>4966054.75</v>
      </c>
      <c r="E100" s="585">
        <v>117642</v>
      </c>
      <c r="F100" s="586">
        <v>4848412.75</v>
      </c>
      <c r="G100" s="586">
        <v>4907233.75</v>
      </c>
      <c r="H100" s="606">
        <v>683432.56004823186</v>
      </c>
      <c r="I100" s="607">
        <v>683432.56004823186</v>
      </c>
      <c r="J100" s="478">
        <f t="shared" ref="J100:J130" si="14">+I100-H100</f>
        <v>0</v>
      </c>
      <c r="K100" s="478"/>
      <c r="L100" s="476">
        <f>H100</f>
        <v>683432.56004823186</v>
      </c>
      <c r="M100" s="349">
        <f>IF(L100&lt;&gt;0,+H100-L100,0)</f>
        <v>0</v>
      </c>
      <c r="N100" s="476">
        <f>I100</f>
        <v>683432.56004823186</v>
      </c>
      <c r="O100" s="478">
        <f t="shared" si="12"/>
        <v>0</v>
      </c>
      <c r="P100" s="478">
        <f t="shared" si="13"/>
        <v>0</v>
      </c>
    </row>
    <row r="101" spans="1:16">
      <c r="B101" s="160" t="str">
        <f t="shared" ref="B101:B154" si="15">IF(D101=F100,"","IU")</f>
        <v/>
      </c>
      <c r="C101" s="472">
        <f>IF(D93="","-",+C100+1)</f>
        <v>2021</v>
      </c>
      <c r="D101" s="347">
        <f>IF(F100+SUM(E$99:E100)=D$92,F100,D$92-SUM(E$99:E100))</f>
        <v>4848412.75</v>
      </c>
      <c r="E101" s="484">
        <f t="shared" ref="E101:E154" si="16">IF(+J$96&lt;F100,J$96,D101)</f>
        <v>123380</v>
      </c>
      <c r="F101" s="485">
        <f t="shared" ref="F101:F154" si="17">+D101-E101</f>
        <v>4725032.75</v>
      </c>
      <c r="G101" s="485">
        <f t="shared" ref="G101:G154" si="18">+(F101+D101)/2</f>
        <v>4786722.75</v>
      </c>
      <c r="H101" s="486">
        <f t="shared" ref="H101:H153" si="19">(D101+F101)/2*J$94+E101</f>
        <v>668074.55118974927</v>
      </c>
      <c r="I101" s="542">
        <f t="shared" ref="I101:I153" si="20">+J$95*G101+E101</f>
        <v>668074.55118974927</v>
      </c>
      <c r="J101" s="478">
        <f t="shared" si="14"/>
        <v>0</v>
      </c>
      <c r="K101" s="478"/>
      <c r="L101" s="487"/>
      <c r="M101" s="478">
        <f t="shared" ref="M101:M130" si="21">IF(L101&lt;&gt;0,+H101-L101,0)</f>
        <v>0</v>
      </c>
      <c r="N101" s="487"/>
      <c r="O101" s="478">
        <f t="shared" si="12"/>
        <v>0</v>
      </c>
      <c r="P101" s="478">
        <f t="shared" si="13"/>
        <v>0</v>
      </c>
    </row>
    <row r="102" spans="1:16">
      <c r="B102" s="160" t="str">
        <f t="shared" si="15"/>
        <v/>
      </c>
      <c r="C102" s="472">
        <f>IF(D93="","-",+C101+1)</f>
        <v>2022</v>
      </c>
      <c r="D102" s="347">
        <f>IF(F101+SUM(E$99:E101)=D$92,F101,D$92-SUM(E$99:E101))</f>
        <v>4725032.75</v>
      </c>
      <c r="E102" s="484">
        <f t="shared" si="16"/>
        <v>123380</v>
      </c>
      <c r="F102" s="485">
        <f t="shared" si="17"/>
        <v>4601652.75</v>
      </c>
      <c r="G102" s="485">
        <f t="shared" si="18"/>
        <v>4663342.75</v>
      </c>
      <c r="H102" s="486">
        <f t="shared" si="19"/>
        <v>654034.79638552724</v>
      </c>
      <c r="I102" s="542">
        <f t="shared" si="20"/>
        <v>654034.79638552724</v>
      </c>
      <c r="J102" s="478">
        <f t="shared" si="14"/>
        <v>0</v>
      </c>
      <c r="K102" s="478"/>
      <c r="L102" s="487"/>
      <c r="M102" s="478">
        <f t="shared" si="21"/>
        <v>0</v>
      </c>
      <c r="N102" s="487"/>
      <c r="O102" s="478">
        <f t="shared" si="12"/>
        <v>0</v>
      </c>
      <c r="P102" s="478">
        <f t="shared" si="13"/>
        <v>0</v>
      </c>
    </row>
    <row r="103" spans="1:16">
      <c r="B103" s="160" t="str">
        <f t="shared" si="15"/>
        <v/>
      </c>
      <c r="C103" s="472">
        <f>IF(D93="","-",+C102+1)</f>
        <v>2023</v>
      </c>
      <c r="D103" s="347">
        <f>IF(F102+SUM(E$99:E102)=D$92,F102,D$92-SUM(E$99:E102))</f>
        <v>4601652.75</v>
      </c>
      <c r="E103" s="484">
        <f t="shared" si="16"/>
        <v>123380</v>
      </c>
      <c r="F103" s="485">
        <f t="shared" si="17"/>
        <v>4478272.75</v>
      </c>
      <c r="G103" s="485">
        <f t="shared" si="18"/>
        <v>4539962.75</v>
      </c>
      <c r="H103" s="486">
        <f t="shared" si="19"/>
        <v>639995.04158130521</v>
      </c>
      <c r="I103" s="542">
        <f t="shared" si="20"/>
        <v>639995.04158130521</v>
      </c>
      <c r="J103" s="478">
        <f t="shared" si="14"/>
        <v>0</v>
      </c>
      <c r="K103" s="478"/>
      <c r="L103" s="487"/>
      <c r="M103" s="478">
        <f t="shared" si="21"/>
        <v>0</v>
      </c>
      <c r="N103" s="487"/>
      <c r="O103" s="478">
        <f t="shared" si="12"/>
        <v>0</v>
      </c>
      <c r="P103" s="478">
        <f t="shared" si="13"/>
        <v>0</v>
      </c>
    </row>
    <row r="104" spans="1:16">
      <c r="B104" s="160" t="str">
        <f t="shared" si="15"/>
        <v/>
      </c>
      <c r="C104" s="472">
        <f>IF(D93="","-",+C103+1)</f>
        <v>2024</v>
      </c>
      <c r="D104" s="347">
        <f>IF(F103+SUM(E$99:E103)=D$92,F103,D$92-SUM(E$99:E103))</f>
        <v>4478272.75</v>
      </c>
      <c r="E104" s="484">
        <f t="shared" si="16"/>
        <v>123380</v>
      </c>
      <c r="F104" s="485">
        <f t="shared" si="17"/>
        <v>4354892.75</v>
      </c>
      <c r="G104" s="485">
        <f t="shared" si="18"/>
        <v>4416582.75</v>
      </c>
      <c r="H104" s="486">
        <f t="shared" si="19"/>
        <v>625955.2867770833</v>
      </c>
      <c r="I104" s="542">
        <f t="shared" si="20"/>
        <v>625955.2867770833</v>
      </c>
      <c r="J104" s="478">
        <f t="shared" si="14"/>
        <v>0</v>
      </c>
      <c r="K104" s="478"/>
      <c r="L104" s="487"/>
      <c r="M104" s="478">
        <f t="shared" si="21"/>
        <v>0</v>
      </c>
      <c r="N104" s="487"/>
      <c r="O104" s="478">
        <f t="shared" si="12"/>
        <v>0</v>
      </c>
      <c r="P104" s="478">
        <f t="shared" si="13"/>
        <v>0</v>
      </c>
    </row>
    <row r="105" spans="1:16">
      <c r="B105" s="160" t="str">
        <f t="shared" si="15"/>
        <v/>
      </c>
      <c r="C105" s="472">
        <f>IF(D93="","-",+C104+1)</f>
        <v>2025</v>
      </c>
      <c r="D105" s="347">
        <f>IF(F104+SUM(E$99:E104)=D$92,F104,D$92-SUM(E$99:E104))</f>
        <v>4354892.75</v>
      </c>
      <c r="E105" s="484">
        <f t="shared" si="16"/>
        <v>123380</v>
      </c>
      <c r="F105" s="485">
        <f t="shared" si="17"/>
        <v>4231512.75</v>
      </c>
      <c r="G105" s="485">
        <f t="shared" si="18"/>
        <v>4293202.75</v>
      </c>
      <c r="H105" s="486">
        <f t="shared" si="19"/>
        <v>611915.53197286127</v>
      </c>
      <c r="I105" s="542">
        <f t="shared" si="20"/>
        <v>611915.53197286127</v>
      </c>
      <c r="J105" s="478">
        <f t="shared" si="14"/>
        <v>0</v>
      </c>
      <c r="K105" s="478"/>
      <c r="L105" s="487"/>
      <c r="M105" s="478">
        <f t="shared" si="21"/>
        <v>0</v>
      </c>
      <c r="N105" s="487"/>
      <c r="O105" s="478">
        <f t="shared" si="12"/>
        <v>0</v>
      </c>
      <c r="P105" s="478">
        <f t="shared" si="13"/>
        <v>0</v>
      </c>
    </row>
    <row r="106" spans="1:16">
      <c r="B106" s="160" t="str">
        <f t="shared" si="15"/>
        <v/>
      </c>
      <c r="C106" s="472">
        <f>IF(D93="","-",+C105+1)</f>
        <v>2026</v>
      </c>
      <c r="D106" s="347">
        <f>IF(F105+SUM(E$99:E105)=D$92,F105,D$92-SUM(E$99:E105))</f>
        <v>4231512.75</v>
      </c>
      <c r="E106" s="484">
        <f t="shared" si="16"/>
        <v>123380</v>
      </c>
      <c r="F106" s="485">
        <f t="shared" si="17"/>
        <v>4108132.75</v>
      </c>
      <c r="G106" s="485">
        <f t="shared" si="18"/>
        <v>4169822.75</v>
      </c>
      <c r="H106" s="486">
        <f t="shared" si="19"/>
        <v>597875.77716863924</v>
      </c>
      <c r="I106" s="542">
        <f t="shared" si="20"/>
        <v>597875.77716863924</v>
      </c>
      <c r="J106" s="478">
        <f t="shared" si="14"/>
        <v>0</v>
      </c>
      <c r="K106" s="478"/>
      <c r="L106" s="487"/>
      <c r="M106" s="478">
        <f t="shared" si="21"/>
        <v>0</v>
      </c>
      <c r="N106" s="487"/>
      <c r="O106" s="478">
        <f t="shared" si="12"/>
        <v>0</v>
      </c>
      <c r="P106" s="478">
        <f t="shared" si="13"/>
        <v>0</v>
      </c>
    </row>
    <row r="107" spans="1:16">
      <c r="B107" s="160" t="str">
        <f t="shared" si="15"/>
        <v/>
      </c>
      <c r="C107" s="472">
        <f>IF(D93="","-",+C106+1)</f>
        <v>2027</v>
      </c>
      <c r="D107" s="347">
        <f>IF(F106+SUM(E$99:E106)=D$92,F106,D$92-SUM(E$99:E106))</f>
        <v>4108132.75</v>
      </c>
      <c r="E107" s="484">
        <f t="shared" si="16"/>
        <v>123380</v>
      </c>
      <c r="F107" s="485">
        <f t="shared" si="17"/>
        <v>3984752.75</v>
      </c>
      <c r="G107" s="485">
        <f t="shared" si="18"/>
        <v>4046442.75</v>
      </c>
      <c r="H107" s="486">
        <f t="shared" si="19"/>
        <v>583836.02236441732</v>
      </c>
      <c r="I107" s="542">
        <f t="shared" si="20"/>
        <v>583836.02236441732</v>
      </c>
      <c r="J107" s="478">
        <f t="shared" si="14"/>
        <v>0</v>
      </c>
      <c r="K107" s="478"/>
      <c r="L107" s="487"/>
      <c r="M107" s="478">
        <f t="shared" si="21"/>
        <v>0</v>
      </c>
      <c r="N107" s="487"/>
      <c r="O107" s="478">
        <f t="shared" si="12"/>
        <v>0</v>
      </c>
      <c r="P107" s="478">
        <f t="shared" si="13"/>
        <v>0</v>
      </c>
    </row>
    <row r="108" spans="1:16">
      <c r="B108" s="160" t="str">
        <f t="shared" si="15"/>
        <v/>
      </c>
      <c r="C108" s="472">
        <f>IF(D93="","-",+C107+1)</f>
        <v>2028</v>
      </c>
      <c r="D108" s="347">
        <f>IF(F107+SUM(E$99:E107)=D$92,F107,D$92-SUM(E$99:E107))</f>
        <v>3984752.75</v>
      </c>
      <c r="E108" s="484">
        <f t="shared" si="16"/>
        <v>123380</v>
      </c>
      <c r="F108" s="485">
        <f t="shared" si="17"/>
        <v>3861372.75</v>
      </c>
      <c r="G108" s="485">
        <f t="shared" si="18"/>
        <v>3923062.75</v>
      </c>
      <c r="H108" s="486">
        <f t="shared" si="19"/>
        <v>569796.26756019518</v>
      </c>
      <c r="I108" s="542">
        <f t="shared" si="20"/>
        <v>569796.26756019518</v>
      </c>
      <c r="J108" s="478">
        <f t="shared" si="14"/>
        <v>0</v>
      </c>
      <c r="K108" s="478"/>
      <c r="L108" s="487"/>
      <c r="M108" s="478">
        <f t="shared" si="21"/>
        <v>0</v>
      </c>
      <c r="N108" s="487"/>
      <c r="O108" s="478">
        <f t="shared" si="12"/>
        <v>0</v>
      </c>
      <c r="P108" s="478">
        <f t="shared" si="13"/>
        <v>0</v>
      </c>
    </row>
    <row r="109" spans="1:16">
      <c r="B109" s="160" t="str">
        <f t="shared" si="15"/>
        <v/>
      </c>
      <c r="C109" s="472">
        <f>IF(D93="","-",+C108+1)</f>
        <v>2029</v>
      </c>
      <c r="D109" s="347">
        <f>IF(F108+SUM(E$99:E108)=D$92,F108,D$92-SUM(E$99:E108))</f>
        <v>3861372.75</v>
      </c>
      <c r="E109" s="484">
        <f t="shared" si="16"/>
        <v>123380</v>
      </c>
      <c r="F109" s="485">
        <f t="shared" si="17"/>
        <v>3737992.75</v>
      </c>
      <c r="G109" s="485">
        <f t="shared" si="18"/>
        <v>3799682.75</v>
      </c>
      <c r="H109" s="486">
        <f t="shared" si="19"/>
        <v>555756.51275597326</v>
      </c>
      <c r="I109" s="542">
        <f t="shared" si="20"/>
        <v>555756.51275597326</v>
      </c>
      <c r="J109" s="478">
        <f t="shared" si="14"/>
        <v>0</v>
      </c>
      <c r="K109" s="478"/>
      <c r="L109" s="487"/>
      <c r="M109" s="478">
        <f t="shared" si="21"/>
        <v>0</v>
      </c>
      <c r="N109" s="487"/>
      <c r="O109" s="478">
        <f t="shared" si="12"/>
        <v>0</v>
      </c>
      <c r="P109" s="478">
        <f t="shared" si="13"/>
        <v>0</v>
      </c>
    </row>
    <row r="110" spans="1:16">
      <c r="B110" s="160" t="str">
        <f t="shared" si="15"/>
        <v/>
      </c>
      <c r="C110" s="472">
        <f>IF(D93="","-",+C109+1)</f>
        <v>2030</v>
      </c>
      <c r="D110" s="347">
        <f>IF(F109+SUM(E$99:E109)=D$92,F109,D$92-SUM(E$99:E109))</f>
        <v>3737992.75</v>
      </c>
      <c r="E110" s="484">
        <f t="shared" si="16"/>
        <v>123380</v>
      </c>
      <c r="F110" s="485">
        <f t="shared" si="17"/>
        <v>3614612.75</v>
      </c>
      <c r="G110" s="485">
        <f t="shared" si="18"/>
        <v>3676302.75</v>
      </c>
      <c r="H110" s="486">
        <f t="shared" si="19"/>
        <v>541716.75795175123</v>
      </c>
      <c r="I110" s="542">
        <f t="shared" si="20"/>
        <v>541716.75795175123</v>
      </c>
      <c r="J110" s="478">
        <f t="shared" si="14"/>
        <v>0</v>
      </c>
      <c r="K110" s="478"/>
      <c r="L110" s="487"/>
      <c r="M110" s="478">
        <f t="shared" si="21"/>
        <v>0</v>
      </c>
      <c r="N110" s="487"/>
      <c r="O110" s="478">
        <f t="shared" si="12"/>
        <v>0</v>
      </c>
      <c r="P110" s="478">
        <f t="shared" si="13"/>
        <v>0</v>
      </c>
    </row>
    <row r="111" spans="1:16">
      <c r="B111" s="160" t="str">
        <f t="shared" si="15"/>
        <v/>
      </c>
      <c r="C111" s="472">
        <f>IF(D93="","-",+C110+1)</f>
        <v>2031</v>
      </c>
      <c r="D111" s="347">
        <f>IF(F110+SUM(E$99:E110)=D$92,F110,D$92-SUM(E$99:E110))</f>
        <v>3614612.75</v>
      </c>
      <c r="E111" s="484">
        <f t="shared" si="16"/>
        <v>123380</v>
      </c>
      <c r="F111" s="485">
        <f t="shared" si="17"/>
        <v>3491232.75</v>
      </c>
      <c r="G111" s="485">
        <f t="shared" si="18"/>
        <v>3552922.75</v>
      </c>
      <c r="H111" s="486">
        <f t="shared" si="19"/>
        <v>527677.00314752921</v>
      </c>
      <c r="I111" s="542">
        <f t="shared" si="20"/>
        <v>527677.00314752921</v>
      </c>
      <c r="J111" s="478">
        <f t="shared" si="14"/>
        <v>0</v>
      </c>
      <c r="K111" s="478"/>
      <c r="L111" s="487"/>
      <c r="M111" s="478">
        <f t="shared" si="21"/>
        <v>0</v>
      </c>
      <c r="N111" s="487"/>
      <c r="O111" s="478">
        <f t="shared" si="12"/>
        <v>0</v>
      </c>
      <c r="P111" s="478">
        <f t="shared" si="13"/>
        <v>0</v>
      </c>
    </row>
    <row r="112" spans="1:16">
      <c r="B112" s="160" t="str">
        <f t="shared" si="15"/>
        <v/>
      </c>
      <c r="C112" s="472">
        <f>IF(D93="","-",+C111+1)</f>
        <v>2032</v>
      </c>
      <c r="D112" s="347">
        <f>IF(F111+SUM(E$99:E111)=D$92,F111,D$92-SUM(E$99:E111))</f>
        <v>3491232.75</v>
      </c>
      <c r="E112" s="484">
        <f t="shared" si="16"/>
        <v>123380</v>
      </c>
      <c r="F112" s="485">
        <f t="shared" si="17"/>
        <v>3367852.75</v>
      </c>
      <c r="G112" s="485">
        <f t="shared" si="18"/>
        <v>3429542.75</v>
      </c>
      <c r="H112" s="486">
        <f t="shared" si="19"/>
        <v>513637.24834330723</v>
      </c>
      <c r="I112" s="542">
        <f t="shared" si="20"/>
        <v>513637.24834330723</v>
      </c>
      <c r="J112" s="478">
        <f t="shared" si="14"/>
        <v>0</v>
      </c>
      <c r="K112" s="478"/>
      <c r="L112" s="487"/>
      <c r="M112" s="478">
        <f t="shared" si="21"/>
        <v>0</v>
      </c>
      <c r="N112" s="487"/>
      <c r="O112" s="478">
        <f t="shared" si="12"/>
        <v>0</v>
      </c>
      <c r="P112" s="478">
        <f t="shared" si="13"/>
        <v>0</v>
      </c>
    </row>
    <row r="113" spans="2:16">
      <c r="B113" s="160" t="str">
        <f t="shared" si="15"/>
        <v/>
      </c>
      <c r="C113" s="472">
        <f>IF(D93="","-",+C112+1)</f>
        <v>2033</v>
      </c>
      <c r="D113" s="347">
        <f>IF(F112+SUM(E$99:E112)=D$92,F112,D$92-SUM(E$99:E112))</f>
        <v>3367852.75</v>
      </c>
      <c r="E113" s="484">
        <f t="shared" si="16"/>
        <v>123380</v>
      </c>
      <c r="F113" s="485">
        <f t="shared" si="17"/>
        <v>3244472.75</v>
      </c>
      <c r="G113" s="485">
        <f t="shared" si="18"/>
        <v>3306162.75</v>
      </c>
      <c r="H113" s="486">
        <f t="shared" si="19"/>
        <v>499597.4935390852</v>
      </c>
      <c r="I113" s="542">
        <f t="shared" si="20"/>
        <v>499597.4935390852</v>
      </c>
      <c r="J113" s="478">
        <f t="shared" si="14"/>
        <v>0</v>
      </c>
      <c r="K113" s="478"/>
      <c r="L113" s="487"/>
      <c r="M113" s="478">
        <f t="shared" si="21"/>
        <v>0</v>
      </c>
      <c r="N113" s="487"/>
      <c r="O113" s="478">
        <f t="shared" si="12"/>
        <v>0</v>
      </c>
      <c r="P113" s="478">
        <f t="shared" si="13"/>
        <v>0</v>
      </c>
    </row>
    <row r="114" spans="2:16">
      <c r="B114" s="160" t="str">
        <f t="shared" si="15"/>
        <v/>
      </c>
      <c r="C114" s="472">
        <f>IF(D93="","-",+C113+1)</f>
        <v>2034</v>
      </c>
      <c r="D114" s="347">
        <f>IF(F113+SUM(E$99:E113)=D$92,F113,D$92-SUM(E$99:E113))</f>
        <v>3244472.75</v>
      </c>
      <c r="E114" s="484">
        <f t="shared" si="16"/>
        <v>123380</v>
      </c>
      <c r="F114" s="485">
        <f t="shared" si="17"/>
        <v>3121092.75</v>
      </c>
      <c r="G114" s="485">
        <f t="shared" si="18"/>
        <v>3182782.75</v>
      </c>
      <c r="H114" s="486">
        <f t="shared" si="19"/>
        <v>485557.73873486323</v>
      </c>
      <c r="I114" s="542">
        <f t="shared" si="20"/>
        <v>485557.73873486323</v>
      </c>
      <c r="J114" s="478">
        <f t="shared" si="14"/>
        <v>0</v>
      </c>
      <c r="K114" s="478"/>
      <c r="L114" s="487"/>
      <c r="M114" s="478">
        <f t="shared" si="21"/>
        <v>0</v>
      </c>
      <c r="N114" s="487"/>
      <c r="O114" s="478">
        <f t="shared" si="12"/>
        <v>0</v>
      </c>
      <c r="P114" s="478">
        <f t="shared" si="13"/>
        <v>0</v>
      </c>
    </row>
    <row r="115" spans="2:16">
      <c r="B115" s="160" t="str">
        <f t="shared" si="15"/>
        <v/>
      </c>
      <c r="C115" s="472">
        <f>IF(D93="","-",+C114+1)</f>
        <v>2035</v>
      </c>
      <c r="D115" s="347">
        <f>IF(F114+SUM(E$99:E114)=D$92,F114,D$92-SUM(E$99:E114))</f>
        <v>3121092.75</v>
      </c>
      <c r="E115" s="484">
        <f t="shared" si="16"/>
        <v>123380</v>
      </c>
      <c r="F115" s="485">
        <f t="shared" si="17"/>
        <v>2997712.75</v>
      </c>
      <c r="G115" s="485">
        <f t="shared" si="18"/>
        <v>3059402.75</v>
      </c>
      <c r="H115" s="486">
        <f t="shared" si="19"/>
        <v>471517.9839306412</v>
      </c>
      <c r="I115" s="542">
        <f t="shared" si="20"/>
        <v>471517.9839306412</v>
      </c>
      <c r="J115" s="478">
        <f t="shared" si="14"/>
        <v>0</v>
      </c>
      <c r="K115" s="478"/>
      <c r="L115" s="487"/>
      <c r="M115" s="478">
        <f t="shared" si="21"/>
        <v>0</v>
      </c>
      <c r="N115" s="487"/>
      <c r="O115" s="478">
        <f t="shared" si="12"/>
        <v>0</v>
      </c>
      <c r="P115" s="478">
        <f t="shared" si="13"/>
        <v>0</v>
      </c>
    </row>
    <row r="116" spans="2:16">
      <c r="B116" s="160" t="str">
        <f t="shared" si="15"/>
        <v/>
      </c>
      <c r="C116" s="472">
        <f>IF(D93="","-",+C115+1)</f>
        <v>2036</v>
      </c>
      <c r="D116" s="347">
        <f>IF(F115+SUM(E$99:E115)=D$92,F115,D$92-SUM(E$99:E115))</f>
        <v>2997712.75</v>
      </c>
      <c r="E116" s="484">
        <f t="shared" si="16"/>
        <v>123380</v>
      </c>
      <c r="F116" s="485">
        <f t="shared" si="17"/>
        <v>2874332.75</v>
      </c>
      <c r="G116" s="485">
        <f t="shared" si="18"/>
        <v>2936022.75</v>
      </c>
      <c r="H116" s="486">
        <f t="shared" si="19"/>
        <v>457478.22912641923</v>
      </c>
      <c r="I116" s="542">
        <f t="shared" si="20"/>
        <v>457478.22912641923</v>
      </c>
      <c r="J116" s="478">
        <f t="shared" si="14"/>
        <v>0</v>
      </c>
      <c r="K116" s="478"/>
      <c r="L116" s="487"/>
      <c r="M116" s="478">
        <f t="shared" si="21"/>
        <v>0</v>
      </c>
      <c r="N116" s="487"/>
      <c r="O116" s="478">
        <f t="shared" si="12"/>
        <v>0</v>
      </c>
      <c r="P116" s="478">
        <f t="shared" si="13"/>
        <v>0</v>
      </c>
    </row>
    <row r="117" spans="2:16">
      <c r="B117" s="160" t="str">
        <f t="shared" si="15"/>
        <v/>
      </c>
      <c r="C117" s="472">
        <f>IF(D93="","-",+C116+1)</f>
        <v>2037</v>
      </c>
      <c r="D117" s="347">
        <f>IF(F116+SUM(E$99:E116)=D$92,F116,D$92-SUM(E$99:E116))</f>
        <v>2874332.75</v>
      </c>
      <c r="E117" s="484">
        <f t="shared" si="16"/>
        <v>123380</v>
      </c>
      <c r="F117" s="485">
        <f t="shared" si="17"/>
        <v>2750952.75</v>
      </c>
      <c r="G117" s="485">
        <f t="shared" si="18"/>
        <v>2812642.75</v>
      </c>
      <c r="H117" s="486">
        <f t="shared" si="19"/>
        <v>443438.4743221972</v>
      </c>
      <c r="I117" s="542">
        <f t="shared" si="20"/>
        <v>443438.4743221972</v>
      </c>
      <c r="J117" s="478">
        <f t="shared" si="14"/>
        <v>0</v>
      </c>
      <c r="K117" s="478"/>
      <c r="L117" s="487"/>
      <c r="M117" s="478">
        <f t="shared" si="21"/>
        <v>0</v>
      </c>
      <c r="N117" s="487"/>
      <c r="O117" s="478">
        <f t="shared" si="12"/>
        <v>0</v>
      </c>
      <c r="P117" s="478">
        <f t="shared" si="13"/>
        <v>0</v>
      </c>
    </row>
    <row r="118" spans="2:16">
      <c r="B118" s="160" t="str">
        <f t="shared" si="15"/>
        <v/>
      </c>
      <c r="C118" s="472">
        <f>IF(D93="","-",+C117+1)</f>
        <v>2038</v>
      </c>
      <c r="D118" s="347">
        <f>IF(F117+SUM(E$99:E117)=D$92,F117,D$92-SUM(E$99:E117))</f>
        <v>2750952.75</v>
      </c>
      <c r="E118" s="484">
        <f t="shared" si="16"/>
        <v>123380</v>
      </c>
      <c r="F118" s="485">
        <f t="shared" si="17"/>
        <v>2627572.75</v>
      </c>
      <c r="G118" s="485">
        <f t="shared" si="18"/>
        <v>2689262.75</v>
      </c>
      <c r="H118" s="486">
        <f t="shared" si="19"/>
        <v>429398.71951797517</v>
      </c>
      <c r="I118" s="542">
        <f t="shared" si="20"/>
        <v>429398.71951797517</v>
      </c>
      <c r="J118" s="478">
        <f t="shared" si="14"/>
        <v>0</v>
      </c>
      <c r="K118" s="478"/>
      <c r="L118" s="487"/>
      <c r="M118" s="478">
        <f t="shared" si="21"/>
        <v>0</v>
      </c>
      <c r="N118" s="487"/>
      <c r="O118" s="478">
        <f t="shared" si="12"/>
        <v>0</v>
      </c>
      <c r="P118" s="478">
        <f t="shared" si="13"/>
        <v>0</v>
      </c>
    </row>
    <row r="119" spans="2:16">
      <c r="B119" s="160" t="str">
        <f t="shared" si="15"/>
        <v/>
      </c>
      <c r="C119" s="472">
        <f>IF(D93="","-",+C118+1)</f>
        <v>2039</v>
      </c>
      <c r="D119" s="347">
        <f>IF(F118+SUM(E$99:E118)=D$92,F118,D$92-SUM(E$99:E118))</f>
        <v>2627572.75</v>
      </c>
      <c r="E119" s="484">
        <f t="shared" si="16"/>
        <v>123380</v>
      </c>
      <c r="F119" s="485">
        <f t="shared" si="17"/>
        <v>2504192.75</v>
      </c>
      <c r="G119" s="485">
        <f t="shared" si="18"/>
        <v>2565882.75</v>
      </c>
      <c r="H119" s="486">
        <f t="shared" si="19"/>
        <v>415358.9647137532</v>
      </c>
      <c r="I119" s="542">
        <f t="shared" si="20"/>
        <v>415358.9647137532</v>
      </c>
      <c r="J119" s="478">
        <f t="shared" si="14"/>
        <v>0</v>
      </c>
      <c r="K119" s="478"/>
      <c r="L119" s="487"/>
      <c r="M119" s="478">
        <f t="shared" si="21"/>
        <v>0</v>
      </c>
      <c r="N119" s="487"/>
      <c r="O119" s="478">
        <f t="shared" si="12"/>
        <v>0</v>
      </c>
      <c r="P119" s="478">
        <f t="shared" si="13"/>
        <v>0</v>
      </c>
    </row>
    <row r="120" spans="2:16">
      <c r="B120" s="160" t="str">
        <f t="shared" si="15"/>
        <v/>
      </c>
      <c r="C120" s="472">
        <f>IF(D93="","-",+C119+1)</f>
        <v>2040</v>
      </c>
      <c r="D120" s="347">
        <f>IF(F119+SUM(E$99:E119)=D$92,F119,D$92-SUM(E$99:E119))</f>
        <v>2504192.75</v>
      </c>
      <c r="E120" s="484">
        <f t="shared" si="16"/>
        <v>123380</v>
      </c>
      <c r="F120" s="485">
        <f t="shared" si="17"/>
        <v>2380812.75</v>
      </c>
      <c r="G120" s="485">
        <f t="shared" si="18"/>
        <v>2442502.75</v>
      </c>
      <c r="H120" s="486">
        <f t="shared" si="19"/>
        <v>401319.20990953117</v>
      </c>
      <c r="I120" s="542">
        <f t="shared" si="20"/>
        <v>401319.20990953117</v>
      </c>
      <c r="J120" s="478">
        <f t="shared" si="14"/>
        <v>0</v>
      </c>
      <c r="K120" s="478"/>
      <c r="L120" s="487"/>
      <c r="M120" s="478">
        <f t="shared" si="21"/>
        <v>0</v>
      </c>
      <c r="N120" s="487"/>
      <c r="O120" s="478">
        <f t="shared" si="12"/>
        <v>0</v>
      </c>
      <c r="P120" s="478">
        <f t="shared" si="13"/>
        <v>0</v>
      </c>
    </row>
    <row r="121" spans="2:16">
      <c r="B121" s="160" t="str">
        <f t="shared" si="15"/>
        <v/>
      </c>
      <c r="C121" s="472">
        <f>IF(D93="","-",+C120+1)</f>
        <v>2041</v>
      </c>
      <c r="D121" s="347">
        <f>IF(F120+SUM(E$99:E120)=D$92,F120,D$92-SUM(E$99:E120))</f>
        <v>2380812.75</v>
      </c>
      <c r="E121" s="484">
        <f t="shared" si="16"/>
        <v>123380</v>
      </c>
      <c r="F121" s="485">
        <f t="shared" si="17"/>
        <v>2257432.75</v>
      </c>
      <c r="G121" s="485">
        <f t="shared" si="18"/>
        <v>2319122.75</v>
      </c>
      <c r="H121" s="486">
        <f t="shared" si="19"/>
        <v>387279.4551053092</v>
      </c>
      <c r="I121" s="542">
        <f t="shared" si="20"/>
        <v>387279.4551053092</v>
      </c>
      <c r="J121" s="478">
        <f t="shared" si="14"/>
        <v>0</v>
      </c>
      <c r="K121" s="478"/>
      <c r="L121" s="487"/>
      <c r="M121" s="478">
        <f t="shared" si="21"/>
        <v>0</v>
      </c>
      <c r="N121" s="487"/>
      <c r="O121" s="478">
        <f t="shared" si="12"/>
        <v>0</v>
      </c>
      <c r="P121" s="478">
        <f t="shared" si="13"/>
        <v>0</v>
      </c>
    </row>
    <row r="122" spans="2:16">
      <c r="B122" s="160" t="str">
        <f t="shared" si="15"/>
        <v/>
      </c>
      <c r="C122" s="472">
        <f>IF(D93="","-",+C121+1)</f>
        <v>2042</v>
      </c>
      <c r="D122" s="347">
        <f>IF(F121+SUM(E$99:E121)=D$92,F121,D$92-SUM(E$99:E121))</f>
        <v>2257432.75</v>
      </c>
      <c r="E122" s="484">
        <f t="shared" si="16"/>
        <v>123380</v>
      </c>
      <c r="F122" s="485">
        <f t="shared" si="17"/>
        <v>2134052.75</v>
      </c>
      <c r="G122" s="485">
        <f t="shared" si="18"/>
        <v>2195742.75</v>
      </c>
      <c r="H122" s="486">
        <f t="shared" si="19"/>
        <v>373239.70030108717</v>
      </c>
      <c r="I122" s="542">
        <f t="shared" si="20"/>
        <v>373239.70030108717</v>
      </c>
      <c r="J122" s="478">
        <f t="shared" si="14"/>
        <v>0</v>
      </c>
      <c r="K122" s="478"/>
      <c r="L122" s="487"/>
      <c r="M122" s="478">
        <f t="shared" si="21"/>
        <v>0</v>
      </c>
      <c r="N122" s="487"/>
      <c r="O122" s="478">
        <f t="shared" si="12"/>
        <v>0</v>
      </c>
      <c r="P122" s="478">
        <f t="shared" si="13"/>
        <v>0</v>
      </c>
    </row>
    <row r="123" spans="2:16">
      <c r="B123" s="160" t="str">
        <f t="shared" si="15"/>
        <v/>
      </c>
      <c r="C123" s="472">
        <f>IF(D93="","-",+C122+1)</f>
        <v>2043</v>
      </c>
      <c r="D123" s="347">
        <f>IF(F122+SUM(E$99:E122)=D$92,F122,D$92-SUM(E$99:E122))</f>
        <v>2134052.75</v>
      </c>
      <c r="E123" s="484">
        <f t="shared" si="16"/>
        <v>123380</v>
      </c>
      <c r="F123" s="485">
        <f t="shared" si="17"/>
        <v>2010672.75</v>
      </c>
      <c r="G123" s="485">
        <f t="shared" si="18"/>
        <v>2072362.75</v>
      </c>
      <c r="H123" s="486">
        <f t="shared" si="19"/>
        <v>359199.9454968652</v>
      </c>
      <c r="I123" s="542">
        <f t="shared" si="20"/>
        <v>359199.9454968652</v>
      </c>
      <c r="J123" s="478">
        <f t="shared" si="14"/>
        <v>0</v>
      </c>
      <c r="K123" s="478"/>
      <c r="L123" s="487"/>
      <c r="M123" s="478">
        <f t="shared" si="21"/>
        <v>0</v>
      </c>
      <c r="N123" s="487"/>
      <c r="O123" s="478">
        <f t="shared" si="12"/>
        <v>0</v>
      </c>
      <c r="P123" s="478">
        <f t="shared" si="13"/>
        <v>0</v>
      </c>
    </row>
    <row r="124" spans="2:16">
      <c r="B124" s="160" t="str">
        <f t="shared" si="15"/>
        <v/>
      </c>
      <c r="C124" s="472">
        <f>IF(D93="","-",+C123+1)</f>
        <v>2044</v>
      </c>
      <c r="D124" s="347">
        <f>IF(F123+SUM(E$99:E123)=D$92,F123,D$92-SUM(E$99:E123))</f>
        <v>2010672.75</v>
      </c>
      <c r="E124" s="484">
        <f t="shared" si="16"/>
        <v>123380</v>
      </c>
      <c r="F124" s="485">
        <f t="shared" si="17"/>
        <v>1887292.75</v>
      </c>
      <c r="G124" s="485">
        <f t="shared" si="18"/>
        <v>1948982.75</v>
      </c>
      <c r="H124" s="486">
        <f t="shared" si="19"/>
        <v>345160.19069264317</v>
      </c>
      <c r="I124" s="542">
        <f t="shared" si="20"/>
        <v>345160.19069264317</v>
      </c>
      <c r="J124" s="478">
        <f t="shared" si="14"/>
        <v>0</v>
      </c>
      <c r="K124" s="478"/>
      <c r="L124" s="487"/>
      <c r="M124" s="478">
        <f t="shared" si="21"/>
        <v>0</v>
      </c>
      <c r="N124" s="487"/>
      <c r="O124" s="478">
        <f t="shared" si="12"/>
        <v>0</v>
      </c>
      <c r="P124" s="478">
        <f t="shared" si="13"/>
        <v>0</v>
      </c>
    </row>
    <row r="125" spans="2:16">
      <c r="B125" s="160" t="str">
        <f t="shared" si="15"/>
        <v/>
      </c>
      <c r="C125" s="472">
        <f>IF(D93="","-",+C124+1)</f>
        <v>2045</v>
      </c>
      <c r="D125" s="347">
        <f>IF(F124+SUM(E$99:E124)=D$92,F124,D$92-SUM(E$99:E124))</f>
        <v>1887292.75</v>
      </c>
      <c r="E125" s="484">
        <f t="shared" si="16"/>
        <v>123380</v>
      </c>
      <c r="F125" s="485">
        <f t="shared" si="17"/>
        <v>1763912.75</v>
      </c>
      <c r="G125" s="485">
        <f t="shared" si="18"/>
        <v>1825602.75</v>
      </c>
      <c r="H125" s="486">
        <f t="shared" si="19"/>
        <v>331120.43588842114</v>
      </c>
      <c r="I125" s="542">
        <f t="shared" si="20"/>
        <v>331120.43588842114</v>
      </c>
      <c r="J125" s="478">
        <f t="shared" si="14"/>
        <v>0</v>
      </c>
      <c r="K125" s="478"/>
      <c r="L125" s="487"/>
      <c r="M125" s="478">
        <f t="shared" si="21"/>
        <v>0</v>
      </c>
      <c r="N125" s="487"/>
      <c r="O125" s="478">
        <f t="shared" si="12"/>
        <v>0</v>
      </c>
      <c r="P125" s="478">
        <f t="shared" si="13"/>
        <v>0</v>
      </c>
    </row>
    <row r="126" spans="2:16">
      <c r="B126" s="160" t="str">
        <f t="shared" si="15"/>
        <v/>
      </c>
      <c r="C126" s="472">
        <f>IF(D93="","-",+C125+1)</f>
        <v>2046</v>
      </c>
      <c r="D126" s="347">
        <f>IF(F125+SUM(E$99:E125)=D$92,F125,D$92-SUM(E$99:E125))</f>
        <v>1763912.75</v>
      </c>
      <c r="E126" s="484">
        <f t="shared" si="16"/>
        <v>123380</v>
      </c>
      <c r="F126" s="485">
        <f t="shared" si="17"/>
        <v>1640532.75</v>
      </c>
      <c r="G126" s="485">
        <f t="shared" si="18"/>
        <v>1702222.75</v>
      </c>
      <c r="H126" s="486">
        <f t="shared" si="19"/>
        <v>317080.68108419917</v>
      </c>
      <c r="I126" s="542">
        <f t="shared" si="20"/>
        <v>317080.68108419917</v>
      </c>
      <c r="J126" s="478">
        <f t="shared" si="14"/>
        <v>0</v>
      </c>
      <c r="K126" s="478"/>
      <c r="L126" s="487"/>
      <c r="M126" s="478">
        <f t="shared" si="21"/>
        <v>0</v>
      </c>
      <c r="N126" s="487"/>
      <c r="O126" s="478">
        <f t="shared" si="12"/>
        <v>0</v>
      </c>
      <c r="P126" s="478">
        <f t="shared" si="13"/>
        <v>0</v>
      </c>
    </row>
    <row r="127" spans="2:16">
      <c r="B127" s="160" t="str">
        <f t="shared" si="15"/>
        <v/>
      </c>
      <c r="C127" s="472">
        <f>IF(D93="","-",+C126+1)</f>
        <v>2047</v>
      </c>
      <c r="D127" s="347">
        <f>IF(F126+SUM(E$99:E126)=D$92,F126,D$92-SUM(E$99:E126))</f>
        <v>1640532.75</v>
      </c>
      <c r="E127" s="484">
        <f t="shared" si="16"/>
        <v>123380</v>
      </c>
      <c r="F127" s="485">
        <f t="shared" si="17"/>
        <v>1517152.75</v>
      </c>
      <c r="G127" s="485">
        <f t="shared" si="18"/>
        <v>1578842.75</v>
      </c>
      <c r="H127" s="486">
        <f t="shared" si="19"/>
        <v>303040.9262799772</v>
      </c>
      <c r="I127" s="542">
        <f t="shared" si="20"/>
        <v>303040.9262799772</v>
      </c>
      <c r="J127" s="478">
        <f t="shared" si="14"/>
        <v>0</v>
      </c>
      <c r="K127" s="478"/>
      <c r="L127" s="487"/>
      <c r="M127" s="478">
        <f t="shared" si="21"/>
        <v>0</v>
      </c>
      <c r="N127" s="487"/>
      <c r="O127" s="478">
        <f t="shared" si="12"/>
        <v>0</v>
      </c>
      <c r="P127" s="478">
        <f t="shared" si="13"/>
        <v>0</v>
      </c>
    </row>
    <row r="128" spans="2:16">
      <c r="B128" s="160" t="str">
        <f t="shared" si="15"/>
        <v/>
      </c>
      <c r="C128" s="472">
        <f>IF(D93="","-",+C127+1)</f>
        <v>2048</v>
      </c>
      <c r="D128" s="347">
        <f>IF(F127+SUM(E$99:E127)=D$92,F127,D$92-SUM(E$99:E127))</f>
        <v>1517152.75</v>
      </c>
      <c r="E128" s="484">
        <f t="shared" si="16"/>
        <v>123380</v>
      </c>
      <c r="F128" s="485">
        <f t="shared" si="17"/>
        <v>1393772.75</v>
      </c>
      <c r="G128" s="485">
        <f t="shared" si="18"/>
        <v>1455462.75</v>
      </c>
      <c r="H128" s="486">
        <f t="shared" si="19"/>
        <v>289001.17147575517</v>
      </c>
      <c r="I128" s="542">
        <f t="shared" si="20"/>
        <v>289001.17147575517</v>
      </c>
      <c r="J128" s="478">
        <f t="shared" si="14"/>
        <v>0</v>
      </c>
      <c r="K128" s="478"/>
      <c r="L128" s="487"/>
      <c r="M128" s="478">
        <f t="shared" si="21"/>
        <v>0</v>
      </c>
      <c r="N128" s="487"/>
      <c r="O128" s="478">
        <f t="shared" si="12"/>
        <v>0</v>
      </c>
      <c r="P128" s="478">
        <f t="shared" si="13"/>
        <v>0</v>
      </c>
    </row>
    <row r="129" spans="2:16">
      <c r="B129" s="160" t="str">
        <f t="shared" si="15"/>
        <v/>
      </c>
      <c r="C129" s="472">
        <f>IF(D93="","-",+C128+1)</f>
        <v>2049</v>
      </c>
      <c r="D129" s="347">
        <f>IF(F128+SUM(E$99:E128)=D$92,F128,D$92-SUM(E$99:E128))</f>
        <v>1393772.75</v>
      </c>
      <c r="E129" s="484">
        <f t="shared" si="16"/>
        <v>123380</v>
      </c>
      <c r="F129" s="485">
        <f t="shared" si="17"/>
        <v>1270392.75</v>
      </c>
      <c r="G129" s="485">
        <f t="shared" si="18"/>
        <v>1332082.75</v>
      </c>
      <c r="H129" s="486">
        <f t="shared" si="19"/>
        <v>274961.41667153314</v>
      </c>
      <c r="I129" s="542">
        <f t="shared" si="20"/>
        <v>274961.41667153314</v>
      </c>
      <c r="J129" s="478">
        <f t="shared" si="14"/>
        <v>0</v>
      </c>
      <c r="K129" s="478"/>
      <c r="L129" s="487"/>
      <c r="M129" s="478">
        <f t="shared" si="21"/>
        <v>0</v>
      </c>
      <c r="N129" s="487"/>
      <c r="O129" s="478">
        <f t="shared" si="12"/>
        <v>0</v>
      </c>
      <c r="P129" s="478">
        <f t="shared" si="13"/>
        <v>0</v>
      </c>
    </row>
    <row r="130" spans="2:16">
      <c r="B130" s="160" t="str">
        <f t="shared" si="15"/>
        <v/>
      </c>
      <c r="C130" s="472">
        <f>IF(D93="","-",+C129+1)</f>
        <v>2050</v>
      </c>
      <c r="D130" s="347">
        <f>IF(F129+SUM(E$99:E129)=D$92,F129,D$92-SUM(E$99:E129))</f>
        <v>1270392.75</v>
      </c>
      <c r="E130" s="484">
        <f t="shared" si="16"/>
        <v>123380</v>
      </c>
      <c r="F130" s="485">
        <f t="shared" si="17"/>
        <v>1147012.75</v>
      </c>
      <c r="G130" s="485">
        <f t="shared" si="18"/>
        <v>1208702.75</v>
      </c>
      <c r="H130" s="486">
        <f t="shared" si="19"/>
        <v>260921.66186731114</v>
      </c>
      <c r="I130" s="542">
        <f t="shared" si="20"/>
        <v>260921.66186731114</v>
      </c>
      <c r="J130" s="478">
        <f t="shared" si="14"/>
        <v>0</v>
      </c>
      <c r="K130" s="478"/>
      <c r="L130" s="487"/>
      <c r="M130" s="478">
        <f t="shared" si="21"/>
        <v>0</v>
      </c>
      <c r="N130" s="487"/>
      <c r="O130" s="478">
        <f t="shared" si="12"/>
        <v>0</v>
      </c>
      <c r="P130" s="478">
        <f t="shared" si="13"/>
        <v>0</v>
      </c>
    </row>
    <row r="131" spans="2:16">
      <c r="B131" s="160" t="str">
        <f t="shared" si="15"/>
        <v/>
      </c>
      <c r="C131" s="472">
        <f>IF(D93="","-",+C130+1)</f>
        <v>2051</v>
      </c>
      <c r="D131" s="347">
        <f>IF(F130+SUM(E$99:E130)=D$92,F130,D$92-SUM(E$99:E130))</f>
        <v>1147012.75</v>
      </c>
      <c r="E131" s="484">
        <f t="shared" si="16"/>
        <v>123380</v>
      </c>
      <c r="F131" s="485">
        <f t="shared" si="17"/>
        <v>1023632.75</v>
      </c>
      <c r="G131" s="485">
        <f t="shared" si="18"/>
        <v>1085322.75</v>
      </c>
      <c r="H131" s="486">
        <f t="shared" si="19"/>
        <v>246881.90706308914</v>
      </c>
      <c r="I131" s="542">
        <f t="shared" si="20"/>
        <v>246881.90706308914</v>
      </c>
      <c r="J131" s="478">
        <f t="shared" ref="J131:J154" si="22">+I541-H541</f>
        <v>0</v>
      </c>
      <c r="K131" s="478"/>
      <c r="L131" s="487"/>
      <c r="M131" s="478">
        <f t="shared" ref="M131:M154" si="23">IF(L541&lt;&gt;0,+H541-L541,0)</f>
        <v>0</v>
      </c>
      <c r="N131" s="487"/>
      <c r="O131" s="478">
        <f t="shared" ref="O131:O154" si="24">IF(N541&lt;&gt;0,+I541-N541,0)</f>
        <v>0</v>
      </c>
      <c r="P131" s="478">
        <f t="shared" ref="P131:P154" si="25">+O541-M541</f>
        <v>0</v>
      </c>
    </row>
    <row r="132" spans="2:16">
      <c r="B132" s="160" t="str">
        <f t="shared" si="15"/>
        <v/>
      </c>
      <c r="C132" s="472">
        <f>IF(D93="","-",+C131+1)</f>
        <v>2052</v>
      </c>
      <c r="D132" s="347">
        <f>IF(F131+SUM(E$99:E131)=D$92,F131,D$92-SUM(E$99:E131))</f>
        <v>1023632.75</v>
      </c>
      <c r="E132" s="484">
        <f t="shared" si="16"/>
        <v>123380</v>
      </c>
      <c r="F132" s="485">
        <f t="shared" si="17"/>
        <v>900252.75</v>
      </c>
      <c r="G132" s="485">
        <f t="shared" si="18"/>
        <v>961942.75</v>
      </c>
      <c r="H132" s="486">
        <f t="shared" si="19"/>
        <v>232842.15225886714</v>
      </c>
      <c r="I132" s="542">
        <f t="shared" si="20"/>
        <v>232842.15225886714</v>
      </c>
      <c r="J132" s="478">
        <f t="shared" si="22"/>
        <v>0</v>
      </c>
      <c r="K132" s="478"/>
      <c r="L132" s="487"/>
      <c r="M132" s="478">
        <f t="shared" si="23"/>
        <v>0</v>
      </c>
      <c r="N132" s="487"/>
      <c r="O132" s="478">
        <f t="shared" si="24"/>
        <v>0</v>
      </c>
      <c r="P132" s="478">
        <f t="shared" si="25"/>
        <v>0</v>
      </c>
    </row>
    <row r="133" spans="2:16">
      <c r="B133" s="160" t="str">
        <f t="shared" si="15"/>
        <v/>
      </c>
      <c r="C133" s="472">
        <f>IF(D93="","-",+C132+1)</f>
        <v>2053</v>
      </c>
      <c r="D133" s="347">
        <f>IF(F132+SUM(E$99:E132)=D$92,F132,D$92-SUM(E$99:E132))</f>
        <v>900252.75</v>
      </c>
      <c r="E133" s="484">
        <f t="shared" si="16"/>
        <v>123380</v>
      </c>
      <c r="F133" s="485">
        <f t="shared" si="17"/>
        <v>776872.75</v>
      </c>
      <c r="G133" s="485">
        <f t="shared" si="18"/>
        <v>838562.75</v>
      </c>
      <c r="H133" s="486">
        <f t="shared" si="19"/>
        <v>218802.39745464514</v>
      </c>
      <c r="I133" s="542">
        <f t="shared" si="20"/>
        <v>218802.39745464514</v>
      </c>
      <c r="J133" s="478">
        <f t="shared" si="22"/>
        <v>0</v>
      </c>
      <c r="K133" s="478"/>
      <c r="L133" s="487"/>
      <c r="M133" s="478">
        <f t="shared" si="23"/>
        <v>0</v>
      </c>
      <c r="N133" s="487"/>
      <c r="O133" s="478">
        <f t="shared" si="24"/>
        <v>0</v>
      </c>
      <c r="P133" s="478">
        <f t="shared" si="25"/>
        <v>0</v>
      </c>
    </row>
    <row r="134" spans="2:16">
      <c r="B134" s="160" t="str">
        <f t="shared" si="15"/>
        <v/>
      </c>
      <c r="C134" s="472">
        <f>IF(D93="","-",+C133+1)</f>
        <v>2054</v>
      </c>
      <c r="D134" s="347">
        <f>IF(F133+SUM(E$99:E133)=D$92,F133,D$92-SUM(E$99:E133))</f>
        <v>776872.75</v>
      </c>
      <c r="E134" s="484">
        <f t="shared" si="16"/>
        <v>123380</v>
      </c>
      <c r="F134" s="485">
        <f t="shared" si="17"/>
        <v>653492.75</v>
      </c>
      <c r="G134" s="485">
        <f t="shared" si="18"/>
        <v>715182.75</v>
      </c>
      <c r="H134" s="486">
        <f t="shared" si="19"/>
        <v>204762.64265042311</v>
      </c>
      <c r="I134" s="542">
        <f t="shared" si="20"/>
        <v>204762.64265042311</v>
      </c>
      <c r="J134" s="478">
        <f t="shared" si="22"/>
        <v>0</v>
      </c>
      <c r="K134" s="478"/>
      <c r="L134" s="487"/>
      <c r="M134" s="478">
        <f t="shared" si="23"/>
        <v>0</v>
      </c>
      <c r="N134" s="487"/>
      <c r="O134" s="478">
        <f t="shared" si="24"/>
        <v>0</v>
      </c>
      <c r="P134" s="478">
        <f t="shared" si="25"/>
        <v>0</v>
      </c>
    </row>
    <row r="135" spans="2:16">
      <c r="B135" s="160" t="str">
        <f t="shared" si="15"/>
        <v/>
      </c>
      <c r="C135" s="472">
        <f>IF(D93="","-",+C134+1)</f>
        <v>2055</v>
      </c>
      <c r="D135" s="347">
        <f>IF(F134+SUM(E$99:E134)=D$92,F134,D$92-SUM(E$99:E134))</f>
        <v>653492.75</v>
      </c>
      <c r="E135" s="484">
        <f t="shared" si="16"/>
        <v>123380</v>
      </c>
      <c r="F135" s="485">
        <f t="shared" si="17"/>
        <v>530112.75</v>
      </c>
      <c r="G135" s="485">
        <f t="shared" si="18"/>
        <v>591802.75</v>
      </c>
      <c r="H135" s="486">
        <f t="shared" si="19"/>
        <v>190722.88784620113</v>
      </c>
      <c r="I135" s="542">
        <f t="shared" si="20"/>
        <v>190722.88784620113</v>
      </c>
      <c r="J135" s="478">
        <f t="shared" si="22"/>
        <v>0</v>
      </c>
      <c r="K135" s="478"/>
      <c r="L135" s="487"/>
      <c r="M135" s="478">
        <f t="shared" si="23"/>
        <v>0</v>
      </c>
      <c r="N135" s="487"/>
      <c r="O135" s="478">
        <f t="shared" si="24"/>
        <v>0</v>
      </c>
      <c r="P135" s="478">
        <f t="shared" si="25"/>
        <v>0</v>
      </c>
    </row>
    <row r="136" spans="2:16">
      <c r="B136" s="160" t="str">
        <f t="shared" si="15"/>
        <v/>
      </c>
      <c r="C136" s="472">
        <f>IF(D93="","-",+C135+1)</f>
        <v>2056</v>
      </c>
      <c r="D136" s="347">
        <f>IF(F135+SUM(E$99:E135)=D$92,F135,D$92-SUM(E$99:E135))</f>
        <v>530112.75</v>
      </c>
      <c r="E136" s="484">
        <f t="shared" si="16"/>
        <v>123380</v>
      </c>
      <c r="F136" s="485">
        <f t="shared" si="17"/>
        <v>406732.75</v>
      </c>
      <c r="G136" s="485">
        <f t="shared" si="18"/>
        <v>468422.75</v>
      </c>
      <c r="H136" s="486">
        <f t="shared" si="19"/>
        <v>176683.1330419791</v>
      </c>
      <c r="I136" s="542">
        <f t="shared" si="20"/>
        <v>176683.1330419791</v>
      </c>
      <c r="J136" s="478">
        <f t="shared" si="22"/>
        <v>0</v>
      </c>
      <c r="K136" s="478"/>
      <c r="L136" s="487"/>
      <c r="M136" s="478">
        <f t="shared" si="23"/>
        <v>0</v>
      </c>
      <c r="N136" s="487"/>
      <c r="O136" s="478">
        <f t="shared" si="24"/>
        <v>0</v>
      </c>
      <c r="P136" s="478">
        <f t="shared" si="25"/>
        <v>0</v>
      </c>
    </row>
    <row r="137" spans="2:16">
      <c r="B137" s="160" t="str">
        <f t="shared" si="15"/>
        <v/>
      </c>
      <c r="C137" s="472">
        <f>IF(D93="","-",+C136+1)</f>
        <v>2057</v>
      </c>
      <c r="D137" s="347">
        <f>IF(F136+SUM(E$99:E136)=D$92,F136,D$92-SUM(E$99:E136))</f>
        <v>406732.75</v>
      </c>
      <c r="E137" s="484">
        <f t="shared" si="16"/>
        <v>123380</v>
      </c>
      <c r="F137" s="485">
        <f t="shared" si="17"/>
        <v>283352.75</v>
      </c>
      <c r="G137" s="485">
        <f t="shared" si="18"/>
        <v>345042.75</v>
      </c>
      <c r="H137" s="486">
        <f t="shared" si="19"/>
        <v>162643.3782377571</v>
      </c>
      <c r="I137" s="542">
        <f t="shared" si="20"/>
        <v>162643.3782377571</v>
      </c>
      <c r="J137" s="478">
        <f t="shared" si="22"/>
        <v>0</v>
      </c>
      <c r="K137" s="478"/>
      <c r="L137" s="487"/>
      <c r="M137" s="478">
        <f t="shared" si="23"/>
        <v>0</v>
      </c>
      <c r="N137" s="487"/>
      <c r="O137" s="478">
        <f t="shared" si="24"/>
        <v>0</v>
      </c>
      <c r="P137" s="478">
        <f t="shared" si="25"/>
        <v>0</v>
      </c>
    </row>
    <row r="138" spans="2:16">
      <c r="B138" s="160" t="str">
        <f t="shared" si="15"/>
        <v/>
      </c>
      <c r="C138" s="472">
        <f>IF(D93="","-",+C137+1)</f>
        <v>2058</v>
      </c>
      <c r="D138" s="347">
        <f>IF(F137+SUM(E$99:E137)=D$92,F137,D$92-SUM(E$99:E137))</f>
        <v>283352.75</v>
      </c>
      <c r="E138" s="484">
        <f t="shared" si="16"/>
        <v>123380</v>
      </c>
      <c r="F138" s="485">
        <f t="shared" si="17"/>
        <v>159972.75</v>
      </c>
      <c r="G138" s="485">
        <f t="shared" si="18"/>
        <v>221662.75</v>
      </c>
      <c r="H138" s="486">
        <f t="shared" si="19"/>
        <v>148603.6234335351</v>
      </c>
      <c r="I138" s="542">
        <f t="shared" si="20"/>
        <v>148603.6234335351</v>
      </c>
      <c r="J138" s="478">
        <f t="shared" si="22"/>
        <v>0</v>
      </c>
      <c r="K138" s="478"/>
      <c r="L138" s="487"/>
      <c r="M138" s="478">
        <f t="shared" si="23"/>
        <v>0</v>
      </c>
      <c r="N138" s="487"/>
      <c r="O138" s="478">
        <f t="shared" si="24"/>
        <v>0</v>
      </c>
      <c r="P138" s="478">
        <f t="shared" si="25"/>
        <v>0</v>
      </c>
    </row>
    <row r="139" spans="2:16">
      <c r="B139" s="160" t="str">
        <f t="shared" si="15"/>
        <v/>
      </c>
      <c r="C139" s="472">
        <f>IF(D93="","-",+C138+1)</f>
        <v>2059</v>
      </c>
      <c r="D139" s="347">
        <f>IF(F138+SUM(E$99:E138)=D$92,F138,D$92-SUM(E$99:E138))</f>
        <v>159972.75</v>
      </c>
      <c r="E139" s="484">
        <f t="shared" si="16"/>
        <v>123380</v>
      </c>
      <c r="F139" s="485">
        <f t="shared" si="17"/>
        <v>36592.75</v>
      </c>
      <c r="G139" s="485">
        <f t="shared" si="18"/>
        <v>98282.75</v>
      </c>
      <c r="H139" s="486">
        <f t="shared" si="19"/>
        <v>134563.8686293131</v>
      </c>
      <c r="I139" s="542">
        <f t="shared" si="20"/>
        <v>134563.8686293131</v>
      </c>
      <c r="J139" s="478">
        <f t="shared" si="22"/>
        <v>0</v>
      </c>
      <c r="K139" s="478"/>
      <c r="L139" s="487"/>
      <c r="M139" s="478">
        <f t="shared" si="23"/>
        <v>0</v>
      </c>
      <c r="N139" s="487"/>
      <c r="O139" s="478">
        <f t="shared" si="24"/>
        <v>0</v>
      </c>
      <c r="P139" s="478">
        <f t="shared" si="25"/>
        <v>0</v>
      </c>
    </row>
    <row r="140" spans="2:16">
      <c r="B140" s="160" t="str">
        <f t="shared" si="15"/>
        <v/>
      </c>
      <c r="C140" s="472">
        <f>IF(D93="","-",+C139+1)</f>
        <v>2060</v>
      </c>
      <c r="D140" s="347">
        <f>IF(F139+SUM(E$99:E139)=D$92,F139,D$92-SUM(E$99:E139))</f>
        <v>36592.75</v>
      </c>
      <c r="E140" s="484">
        <f t="shared" si="16"/>
        <v>36592.75</v>
      </c>
      <c r="F140" s="485">
        <f t="shared" si="17"/>
        <v>0</v>
      </c>
      <c r="G140" s="485">
        <f t="shared" si="18"/>
        <v>18296.375</v>
      </c>
      <c r="H140" s="486">
        <f t="shared" si="19"/>
        <v>38674.745613601051</v>
      </c>
      <c r="I140" s="542">
        <f t="shared" si="20"/>
        <v>38674.745613601051</v>
      </c>
      <c r="J140" s="478">
        <f t="shared" si="22"/>
        <v>0</v>
      </c>
      <c r="K140" s="478"/>
      <c r="L140" s="487"/>
      <c r="M140" s="478">
        <f t="shared" si="23"/>
        <v>0</v>
      </c>
      <c r="N140" s="487"/>
      <c r="O140" s="478">
        <f t="shared" si="24"/>
        <v>0</v>
      </c>
      <c r="P140" s="478">
        <f t="shared" si="25"/>
        <v>0</v>
      </c>
    </row>
    <row r="141" spans="2:16">
      <c r="B141" s="160" t="str">
        <f t="shared" si="15"/>
        <v/>
      </c>
      <c r="C141" s="472">
        <f>IF(D93="","-",+C140+1)</f>
        <v>2061</v>
      </c>
      <c r="D141" s="347">
        <f>IF(F140+SUM(E$99:E140)=D$92,F140,D$92-SUM(E$99:E140))</f>
        <v>0</v>
      </c>
      <c r="E141" s="484">
        <f t="shared" si="16"/>
        <v>0</v>
      </c>
      <c r="F141" s="485">
        <f t="shared" si="17"/>
        <v>0</v>
      </c>
      <c r="G141" s="485">
        <f t="shared" si="18"/>
        <v>0</v>
      </c>
      <c r="H141" s="486">
        <f t="shared" si="19"/>
        <v>0</v>
      </c>
      <c r="I141" s="542">
        <f t="shared" si="20"/>
        <v>0</v>
      </c>
      <c r="J141" s="478">
        <f t="shared" si="22"/>
        <v>0</v>
      </c>
      <c r="K141" s="478"/>
      <c r="L141" s="487"/>
      <c r="M141" s="478">
        <f t="shared" si="23"/>
        <v>0</v>
      </c>
      <c r="N141" s="487"/>
      <c r="O141" s="478">
        <f t="shared" si="24"/>
        <v>0</v>
      </c>
      <c r="P141" s="478">
        <f t="shared" si="25"/>
        <v>0</v>
      </c>
    </row>
    <row r="142" spans="2:16">
      <c r="B142" s="160" t="str">
        <f t="shared" si="15"/>
        <v/>
      </c>
      <c r="C142" s="472">
        <f>IF(D93="","-",+C141+1)</f>
        <v>2062</v>
      </c>
      <c r="D142" s="347">
        <f>IF(F141+SUM(E$99:E141)=D$92,F141,D$92-SUM(E$99:E141))</f>
        <v>0</v>
      </c>
      <c r="E142" s="484">
        <f t="shared" si="16"/>
        <v>0</v>
      </c>
      <c r="F142" s="485">
        <f t="shared" si="17"/>
        <v>0</v>
      </c>
      <c r="G142" s="485">
        <f t="shared" si="18"/>
        <v>0</v>
      </c>
      <c r="H142" s="486">
        <f t="shared" si="19"/>
        <v>0</v>
      </c>
      <c r="I142" s="542">
        <f t="shared" si="20"/>
        <v>0</v>
      </c>
      <c r="J142" s="478">
        <f t="shared" si="22"/>
        <v>0</v>
      </c>
      <c r="K142" s="478"/>
      <c r="L142" s="487"/>
      <c r="M142" s="478">
        <f t="shared" si="23"/>
        <v>0</v>
      </c>
      <c r="N142" s="487"/>
      <c r="O142" s="478">
        <f t="shared" si="24"/>
        <v>0</v>
      </c>
      <c r="P142" s="478">
        <f t="shared" si="25"/>
        <v>0</v>
      </c>
    </row>
    <row r="143" spans="2:16">
      <c r="B143" s="160" t="str">
        <f t="shared" si="15"/>
        <v/>
      </c>
      <c r="C143" s="472">
        <f>IF(D93="","-",+C142+1)</f>
        <v>2063</v>
      </c>
      <c r="D143" s="347">
        <f>IF(F142+SUM(E$99:E142)=D$92,F142,D$92-SUM(E$99:E142))</f>
        <v>0</v>
      </c>
      <c r="E143" s="484">
        <f t="shared" si="16"/>
        <v>0</v>
      </c>
      <c r="F143" s="485">
        <f t="shared" si="17"/>
        <v>0</v>
      </c>
      <c r="G143" s="485">
        <f t="shared" si="18"/>
        <v>0</v>
      </c>
      <c r="H143" s="486">
        <f t="shared" si="19"/>
        <v>0</v>
      </c>
      <c r="I143" s="542">
        <f t="shared" si="20"/>
        <v>0</v>
      </c>
      <c r="J143" s="478">
        <f t="shared" si="22"/>
        <v>0</v>
      </c>
      <c r="K143" s="478"/>
      <c r="L143" s="487"/>
      <c r="M143" s="478">
        <f t="shared" si="23"/>
        <v>0</v>
      </c>
      <c r="N143" s="487"/>
      <c r="O143" s="478">
        <f t="shared" si="24"/>
        <v>0</v>
      </c>
      <c r="P143" s="478">
        <f t="shared" si="25"/>
        <v>0</v>
      </c>
    </row>
    <row r="144" spans="2:16">
      <c r="B144" s="160" t="str">
        <f t="shared" si="15"/>
        <v/>
      </c>
      <c r="C144" s="472">
        <f>IF(D93="","-",+C143+1)</f>
        <v>2064</v>
      </c>
      <c r="D144" s="347">
        <f>IF(F143+SUM(E$99:E143)=D$92,F143,D$92-SUM(E$99:E143))</f>
        <v>0</v>
      </c>
      <c r="E144" s="484">
        <f t="shared" si="16"/>
        <v>0</v>
      </c>
      <c r="F144" s="485">
        <f t="shared" si="17"/>
        <v>0</v>
      </c>
      <c r="G144" s="485">
        <f t="shared" si="18"/>
        <v>0</v>
      </c>
      <c r="H144" s="486">
        <f t="shared" si="19"/>
        <v>0</v>
      </c>
      <c r="I144" s="542">
        <f t="shared" si="20"/>
        <v>0</v>
      </c>
      <c r="J144" s="478">
        <f t="shared" si="22"/>
        <v>0</v>
      </c>
      <c r="K144" s="478"/>
      <c r="L144" s="487"/>
      <c r="M144" s="478">
        <f t="shared" si="23"/>
        <v>0</v>
      </c>
      <c r="N144" s="487"/>
      <c r="O144" s="478">
        <f t="shared" si="24"/>
        <v>0</v>
      </c>
      <c r="P144" s="478">
        <f t="shared" si="25"/>
        <v>0</v>
      </c>
    </row>
    <row r="145" spans="2:16">
      <c r="B145" s="160" t="str">
        <f t="shared" si="15"/>
        <v/>
      </c>
      <c r="C145" s="472">
        <f>IF(D93="","-",+C144+1)</f>
        <v>2065</v>
      </c>
      <c r="D145" s="347">
        <f>IF(F144+SUM(E$99:E144)=D$92,F144,D$92-SUM(E$99:E144))</f>
        <v>0</v>
      </c>
      <c r="E145" s="484">
        <f t="shared" si="16"/>
        <v>0</v>
      </c>
      <c r="F145" s="485">
        <f t="shared" si="17"/>
        <v>0</v>
      </c>
      <c r="G145" s="485">
        <f t="shared" si="18"/>
        <v>0</v>
      </c>
      <c r="H145" s="486">
        <f t="shared" si="19"/>
        <v>0</v>
      </c>
      <c r="I145" s="542">
        <f t="shared" si="20"/>
        <v>0</v>
      </c>
      <c r="J145" s="478">
        <f t="shared" si="22"/>
        <v>0</v>
      </c>
      <c r="K145" s="478"/>
      <c r="L145" s="487"/>
      <c r="M145" s="478">
        <f t="shared" si="23"/>
        <v>0</v>
      </c>
      <c r="N145" s="487"/>
      <c r="O145" s="478">
        <f t="shared" si="24"/>
        <v>0</v>
      </c>
      <c r="P145" s="478">
        <f t="shared" si="25"/>
        <v>0</v>
      </c>
    </row>
    <row r="146" spans="2:16">
      <c r="B146" s="160" t="str">
        <f t="shared" si="15"/>
        <v/>
      </c>
      <c r="C146" s="472">
        <f>IF(D93="","-",+C145+1)</f>
        <v>2066</v>
      </c>
      <c r="D146" s="347">
        <f>IF(F145+SUM(E$99:E145)=D$92,F145,D$92-SUM(E$99:E145))</f>
        <v>0</v>
      </c>
      <c r="E146" s="484">
        <f t="shared" si="16"/>
        <v>0</v>
      </c>
      <c r="F146" s="485">
        <f t="shared" si="17"/>
        <v>0</v>
      </c>
      <c r="G146" s="485">
        <f t="shared" si="18"/>
        <v>0</v>
      </c>
      <c r="H146" s="486">
        <f t="shared" si="19"/>
        <v>0</v>
      </c>
      <c r="I146" s="542">
        <f t="shared" si="20"/>
        <v>0</v>
      </c>
      <c r="J146" s="478">
        <f t="shared" si="22"/>
        <v>0</v>
      </c>
      <c r="K146" s="478"/>
      <c r="L146" s="487"/>
      <c r="M146" s="478">
        <f t="shared" si="23"/>
        <v>0</v>
      </c>
      <c r="N146" s="487"/>
      <c r="O146" s="478">
        <f t="shared" si="24"/>
        <v>0</v>
      </c>
      <c r="P146" s="478">
        <f t="shared" si="25"/>
        <v>0</v>
      </c>
    </row>
    <row r="147" spans="2:16">
      <c r="B147" s="160" t="str">
        <f t="shared" si="15"/>
        <v/>
      </c>
      <c r="C147" s="472">
        <f>IF(D93="","-",+C146+1)</f>
        <v>2067</v>
      </c>
      <c r="D147" s="347">
        <f>IF(F146+SUM(E$99:E146)=D$92,F146,D$92-SUM(E$99:E146))</f>
        <v>0</v>
      </c>
      <c r="E147" s="484">
        <f t="shared" si="16"/>
        <v>0</v>
      </c>
      <c r="F147" s="485">
        <f t="shared" si="17"/>
        <v>0</v>
      </c>
      <c r="G147" s="485">
        <f t="shared" si="18"/>
        <v>0</v>
      </c>
      <c r="H147" s="486">
        <f t="shared" si="19"/>
        <v>0</v>
      </c>
      <c r="I147" s="542">
        <f t="shared" si="20"/>
        <v>0</v>
      </c>
      <c r="J147" s="478">
        <f t="shared" si="22"/>
        <v>0</v>
      </c>
      <c r="K147" s="478"/>
      <c r="L147" s="487"/>
      <c r="M147" s="478">
        <f t="shared" si="23"/>
        <v>0</v>
      </c>
      <c r="N147" s="487"/>
      <c r="O147" s="478">
        <f t="shared" si="24"/>
        <v>0</v>
      </c>
      <c r="P147" s="478">
        <f t="shared" si="25"/>
        <v>0</v>
      </c>
    </row>
    <row r="148" spans="2:16">
      <c r="B148" s="160" t="str">
        <f t="shared" si="15"/>
        <v/>
      </c>
      <c r="C148" s="472">
        <f>IF(D93="","-",+C147+1)</f>
        <v>2068</v>
      </c>
      <c r="D148" s="347">
        <f>IF(F147+SUM(E$99:E147)=D$92,F147,D$92-SUM(E$99:E147))</f>
        <v>0</v>
      </c>
      <c r="E148" s="484">
        <f t="shared" si="16"/>
        <v>0</v>
      </c>
      <c r="F148" s="485">
        <f t="shared" si="17"/>
        <v>0</v>
      </c>
      <c r="G148" s="485">
        <f t="shared" si="18"/>
        <v>0</v>
      </c>
      <c r="H148" s="486">
        <f t="shared" si="19"/>
        <v>0</v>
      </c>
      <c r="I148" s="542">
        <f t="shared" si="20"/>
        <v>0</v>
      </c>
      <c r="J148" s="478">
        <f t="shared" si="22"/>
        <v>0</v>
      </c>
      <c r="K148" s="478"/>
      <c r="L148" s="487"/>
      <c r="M148" s="478">
        <f t="shared" si="23"/>
        <v>0</v>
      </c>
      <c r="N148" s="487"/>
      <c r="O148" s="478">
        <f t="shared" si="24"/>
        <v>0</v>
      </c>
      <c r="P148" s="478">
        <f t="shared" si="25"/>
        <v>0</v>
      </c>
    </row>
    <row r="149" spans="2:16">
      <c r="B149" s="160" t="str">
        <f t="shared" si="15"/>
        <v/>
      </c>
      <c r="C149" s="472">
        <f>IF(D93="","-",+C148+1)</f>
        <v>2069</v>
      </c>
      <c r="D149" s="347">
        <f>IF(F148+SUM(E$99:E148)=D$92,F148,D$92-SUM(E$99:E148))</f>
        <v>0</v>
      </c>
      <c r="E149" s="484">
        <f t="shared" si="16"/>
        <v>0</v>
      </c>
      <c r="F149" s="485">
        <f t="shared" si="17"/>
        <v>0</v>
      </c>
      <c r="G149" s="485">
        <f t="shared" si="18"/>
        <v>0</v>
      </c>
      <c r="H149" s="486">
        <f t="shared" si="19"/>
        <v>0</v>
      </c>
      <c r="I149" s="542">
        <f t="shared" si="20"/>
        <v>0</v>
      </c>
      <c r="J149" s="478">
        <f t="shared" si="22"/>
        <v>0</v>
      </c>
      <c r="K149" s="478"/>
      <c r="L149" s="487"/>
      <c r="M149" s="478">
        <f t="shared" si="23"/>
        <v>0</v>
      </c>
      <c r="N149" s="487"/>
      <c r="O149" s="478">
        <f t="shared" si="24"/>
        <v>0</v>
      </c>
      <c r="P149" s="478">
        <f t="shared" si="25"/>
        <v>0</v>
      </c>
    </row>
    <row r="150" spans="2:16">
      <c r="B150" s="160" t="str">
        <f t="shared" si="15"/>
        <v/>
      </c>
      <c r="C150" s="472">
        <f>IF(D93="","-",+C149+1)</f>
        <v>2070</v>
      </c>
      <c r="D150" s="347">
        <f>IF(F149+SUM(E$99:E149)=D$92,F149,D$92-SUM(E$99:E149))</f>
        <v>0</v>
      </c>
      <c r="E150" s="484">
        <f t="shared" si="16"/>
        <v>0</v>
      </c>
      <c r="F150" s="485">
        <f t="shared" si="17"/>
        <v>0</v>
      </c>
      <c r="G150" s="485">
        <f t="shared" si="18"/>
        <v>0</v>
      </c>
      <c r="H150" s="486">
        <f t="shared" si="19"/>
        <v>0</v>
      </c>
      <c r="I150" s="542">
        <f t="shared" si="20"/>
        <v>0</v>
      </c>
      <c r="J150" s="478">
        <f t="shared" si="22"/>
        <v>0</v>
      </c>
      <c r="K150" s="478"/>
      <c r="L150" s="487"/>
      <c r="M150" s="478">
        <f t="shared" si="23"/>
        <v>0</v>
      </c>
      <c r="N150" s="487"/>
      <c r="O150" s="478">
        <f t="shared" si="24"/>
        <v>0</v>
      </c>
      <c r="P150" s="478">
        <f t="shared" si="25"/>
        <v>0</v>
      </c>
    </row>
    <row r="151" spans="2:16">
      <c r="B151" s="160" t="str">
        <f t="shared" si="15"/>
        <v/>
      </c>
      <c r="C151" s="472">
        <f>IF(D93="","-",+C150+1)</f>
        <v>2071</v>
      </c>
      <c r="D151" s="347">
        <f>IF(F150+SUM(E$99:E150)=D$92,F150,D$92-SUM(E$99:E150))</f>
        <v>0</v>
      </c>
      <c r="E151" s="484">
        <f t="shared" si="16"/>
        <v>0</v>
      </c>
      <c r="F151" s="485">
        <f t="shared" si="17"/>
        <v>0</v>
      </c>
      <c r="G151" s="485">
        <f t="shared" si="18"/>
        <v>0</v>
      </c>
      <c r="H151" s="486">
        <f t="shared" si="19"/>
        <v>0</v>
      </c>
      <c r="I151" s="542">
        <f t="shared" si="20"/>
        <v>0</v>
      </c>
      <c r="J151" s="478">
        <f t="shared" si="22"/>
        <v>0</v>
      </c>
      <c r="K151" s="478"/>
      <c r="L151" s="487"/>
      <c r="M151" s="478">
        <f t="shared" si="23"/>
        <v>0</v>
      </c>
      <c r="N151" s="487"/>
      <c r="O151" s="478">
        <f t="shared" si="24"/>
        <v>0</v>
      </c>
      <c r="P151" s="478">
        <f t="shared" si="25"/>
        <v>0</v>
      </c>
    </row>
    <row r="152" spans="2:16">
      <c r="B152" s="160" t="str">
        <f t="shared" si="15"/>
        <v/>
      </c>
      <c r="C152" s="472">
        <f>IF(D93="","-",+C151+1)</f>
        <v>2072</v>
      </c>
      <c r="D152" s="347">
        <f>IF(F151+SUM(E$99:E151)=D$92,F151,D$92-SUM(E$99:E151))</f>
        <v>0</v>
      </c>
      <c r="E152" s="484">
        <f t="shared" si="16"/>
        <v>0</v>
      </c>
      <c r="F152" s="485">
        <f t="shared" si="17"/>
        <v>0</v>
      </c>
      <c r="G152" s="485">
        <f t="shared" si="18"/>
        <v>0</v>
      </c>
      <c r="H152" s="486">
        <f t="shared" si="19"/>
        <v>0</v>
      </c>
      <c r="I152" s="542">
        <f t="shared" si="20"/>
        <v>0</v>
      </c>
      <c r="J152" s="478">
        <f t="shared" si="22"/>
        <v>0</v>
      </c>
      <c r="K152" s="478"/>
      <c r="L152" s="487"/>
      <c r="M152" s="478">
        <f t="shared" si="23"/>
        <v>0</v>
      </c>
      <c r="N152" s="487"/>
      <c r="O152" s="478">
        <f t="shared" si="24"/>
        <v>0</v>
      </c>
      <c r="P152" s="478">
        <f t="shared" si="25"/>
        <v>0</v>
      </c>
    </row>
    <row r="153" spans="2:16">
      <c r="B153" s="160" t="str">
        <f t="shared" si="15"/>
        <v/>
      </c>
      <c r="C153" s="472">
        <f>IF(D93="","-",+C152+1)</f>
        <v>2073</v>
      </c>
      <c r="D153" s="347">
        <f>IF(F152+SUM(E$99:E152)=D$92,F152,D$92-SUM(E$99:E152))</f>
        <v>0</v>
      </c>
      <c r="E153" s="484">
        <f t="shared" si="16"/>
        <v>0</v>
      </c>
      <c r="F153" s="485">
        <f t="shared" si="17"/>
        <v>0</v>
      </c>
      <c r="G153" s="485">
        <f t="shared" si="18"/>
        <v>0</v>
      </c>
      <c r="H153" s="486">
        <f t="shared" si="19"/>
        <v>0</v>
      </c>
      <c r="I153" s="542">
        <f t="shared" si="20"/>
        <v>0</v>
      </c>
      <c r="J153" s="478">
        <f t="shared" si="22"/>
        <v>0</v>
      </c>
      <c r="K153" s="478"/>
      <c r="L153" s="487"/>
      <c r="M153" s="478">
        <f t="shared" si="23"/>
        <v>0</v>
      </c>
      <c r="N153" s="487"/>
      <c r="O153" s="478">
        <f t="shared" si="24"/>
        <v>0</v>
      </c>
      <c r="P153" s="478">
        <f t="shared" si="25"/>
        <v>0</v>
      </c>
    </row>
    <row r="154" spans="2:16" ht="13.5" thickBot="1">
      <c r="B154" s="160" t="str">
        <f t="shared" si="15"/>
        <v/>
      </c>
      <c r="C154" s="489">
        <f>IF(D93="","-",+C153+1)</f>
        <v>2074</v>
      </c>
      <c r="D154" s="543">
        <f>IF(F153+SUM(E$99:E153)=D$92,F153,D$92-SUM(E$99:E153))</f>
        <v>0</v>
      </c>
      <c r="E154" s="491">
        <f t="shared" si="16"/>
        <v>0</v>
      </c>
      <c r="F154" s="490">
        <f t="shared" si="17"/>
        <v>0</v>
      </c>
      <c r="G154" s="490">
        <f t="shared" si="18"/>
        <v>0</v>
      </c>
      <c r="H154" s="613">
        <f t="shared" ref="H154" si="26">+J$94*G154+E154</f>
        <v>0</v>
      </c>
      <c r="I154" s="614">
        <f t="shared" ref="I154" si="27">+J$95*G154+E154</f>
        <v>0</v>
      </c>
      <c r="J154" s="495">
        <f t="shared" si="22"/>
        <v>0</v>
      </c>
      <c r="K154" s="478"/>
      <c r="L154" s="494"/>
      <c r="M154" s="495">
        <f t="shared" si="23"/>
        <v>0</v>
      </c>
      <c r="N154" s="494"/>
      <c r="O154" s="495">
        <f t="shared" si="24"/>
        <v>0</v>
      </c>
      <c r="P154" s="495">
        <f t="shared" si="25"/>
        <v>0</v>
      </c>
    </row>
    <row r="155" spans="2:16">
      <c r="C155" s="347" t="s">
        <v>77</v>
      </c>
      <c r="D155" s="348"/>
      <c r="E155" s="348">
        <f>SUM(E99:E154)</f>
        <v>5058589</v>
      </c>
      <c r="F155" s="348"/>
      <c r="G155" s="348"/>
      <c r="H155" s="348">
        <f>SUM(H99:H154)</f>
        <v>16722122.237318348</v>
      </c>
      <c r="I155" s="348">
        <f>SUM(I99:I154)</f>
        <v>16722122.237318348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7" priority="1" stopIfTrue="1" operator="equal">
      <formula>$I$10</formula>
    </cfRule>
  </conditionalFormatting>
  <conditionalFormatting sqref="C99:C154">
    <cfRule type="cellIs" dxfId="6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162"/>
  <sheetViews>
    <sheetView zoomScale="86" zoomScaleNormal="86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28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302407.38707255269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302407.38707255269</v>
      </c>
      <c r="O6" s="233"/>
      <c r="P6" s="233"/>
    </row>
    <row r="7" spans="1:16" ht="13.5" thickBot="1">
      <c r="C7" s="431" t="s">
        <v>46</v>
      </c>
      <c r="D7" s="619" t="s">
        <v>346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C9" s="440" t="s">
        <v>48</v>
      </c>
      <c r="D9" s="441" t="s">
        <v>350</v>
      </c>
      <c r="E9" s="620" t="s">
        <v>351</v>
      </c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2536389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2020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58985.79069767442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2020</v>
      </c>
      <c r="D17" s="621">
        <v>0</v>
      </c>
      <c r="E17" s="622">
        <v>19964.285714285714</v>
      </c>
      <c r="F17" s="623">
        <v>1657035.7142857143</v>
      </c>
      <c r="G17" s="622">
        <v>109448.17204091245</v>
      </c>
      <c r="H17" s="624">
        <v>109448.17204091245</v>
      </c>
      <c r="I17" s="475">
        <f>H17-G17</f>
        <v>0</v>
      </c>
      <c r="J17" s="475"/>
      <c r="K17" s="554">
        <f>+G17</f>
        <v>109448.17204091245</v>
      </c>
      <c r="L17" s="477">
        <f t="shared" ref="L17:L18" si="0">IF(K17&lt;&gt;0,+G17-K17,0)</f>
        <v>0</v>
      </c>
      <c r="M17" s="554">
        <f>+H17</f>
        <v>109448.17204091245</v>
      </c>
      <c r="N17" s="477">
        <f t="shared" ref="N17:N72" si="1">IF(M17&lt;&gt;0,+H17-M17,0)</f>
        <v>0</v>
      </c>
      <c r="O17" s="478">
        <f t="shared" ref="O17:O72" si="2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2021</v>
      </c>
      <c r="D18" s="473">
        <v>2325985.7142857141</v>
      </c>
      <c r="E18" s="480">
        <v>54556.976744186046</v>
      </c>
      <c r="F18" s="473">
        <v>2271428.737541528</v>
      </c>
      <c r="G18" s="480">
        <v>302407.38707255269</v>
      </c>
      <c r="H18" s="481">
        <v>302407.38707255269</v>
      </c>
      <c r="I18" s="475">
        <f>H18-G18</f>
        <v>0</v>
      </c>
      <c r="J18" s="475"/>
      <c r="K18" s="629">
        <f>+G18</f>
        <v>302407.38707255269</v>
      </c>
      <c r="L18" s="629">
        <f t="shared" si="0"/>
        <v>0</v>
      </c>
      <c r="M18" s="629">
        <f>+H18</f>
        <v>302407.38707255269</v>
      </c>
      <c r="N18" s="478">
        <f t="shared" si="1"/>
        <v>0</v>
      </c>
      <c r="O18" s="478">
        <f t="shared" si="2"/>
        <v>0</v>
      </c>
      <c r="P18" s="243"/>
    </row>
    <row r="19" spans="2:16">
      <c r="B19" s="160" t="str">
        <f>IF(D19=F18,"","IU")</f>
        <v>IU</v>
      </c>
      <c r="C19" s="472">
        <f>IF(D11="","-",+C18+1)</f>
        <v>2022</v>
      </c>
      <c r="D19" s="483">
        <f>IF(F18+SUM(E$17:E18)=D$10,F18,D$10-SUM(E$17:E18))</f>
        <v>2461867.7375415284</v>
      </c>
      <c r="E19" s="484">
        <f t="shared" ref="E19:E71" si="3">IF(+I$14&lt;F18,I$14,D19)</f>
        <v>58985.79069767442</v>
      </c>
      <c r="F19" s="485">
        <f t="shared" ref="F19:F71" si="4">+D19-E19</f>
        <v>2402881.9468438542</v>
      </c>
      <c r="G19" s="486">
        <f t="shared" ref="G19:G71" si="5">(D19+F19)/2*I$12+E19</f>
        <v>338845.92601124849</v>
      </c>
      <c r="H19" s="455">
        <f t="shared" ref="H19:H71" si="6">+(D19+F19)/2*I$13+E19</f>
        <v>338845.92601124849</v>
      </c>
      <c r="I19" s="475">
        <f t="shared" ref="I19:I71" si="7">H19-G19</f>
        <v>0</v>
      </c>
      <c r="J19" s="475"/>
      <c r="K19" s="487"/>
      <c r="L19" s="478">
        <f t="shared" ref="L19:L72" si="8">IF(K19&lt;&gt;0,+G19-K19,0)</f>
        <v>0</v>
      </c>
      <c r="M19" s="487"/>
      <c r="N19" s="478">
        <f t="shared" si="1"/>
        <v>0</v>
      </c>
      <c r="O19" s="478">
        <f t="shared" si="2"/>
        <v>0</v>
      </c>
      <c r="P19" s="243"/>
    </row>
    <row r="20" spans="2:16">
      <c r="B20" s="160" t="str">
        <f t="shared" ref="B20:B72" si="9">IF(D20=F19,"","IU")</f>
        <v/>
      </c>
      <c r="C20" s="472">
        <f>IF(D11="","-",+C19+1)</f>
        <v>2023</v>
      </c>
      <c r="D20" s="483">
        <f>IF(F19+SUM(E$17:E19)=D$10,F19,D$10-SUM(E$17:E19))</f>
        <v>2402881.9468438542</v>
      </c>
      <c r="E20" s="484">
        <f t="shared" si="3"/>
        <v>58985.79069767442</v>
      </c>
      <c r="F20" s="485">
        <f t="shared" si="4"/>
        <v>2343896.1561461799</v>
      </c>
      <c r="G20" s="486">
        <f t="shared" si="5"/>
        <v>332059.23710134835</v>
      </c>
      <c r="H20" s="455">
        <f t="shared" si="6"/>
        <v>332059.23710134835</v>
      </c>
      <c r="I20" s="475">
        <f t="shared" si="7"/>
        <v>0</v>
      </c>
      <c r="J20" s="475"/>
      <c r="K20" s="487"/>
      <c r="L20" s="478">
        <f t="shared" si="8"/>
        <v>0</v>
      </c>
      <c r="M20" s="487"/>
      <c r="N20" s="478">
        <f t="shared" si="1"/>
        <v>0</v>
      </c>
      <c r="O20" s="478">
        <f t="shared" si="2"/>
        <v>0</v>
      </c>
      <c r="P20" s="243"/>
    </row>
    <row r="21" spans="2:16">
      <c r="B21" s="160" t="str">
        <f t="shared" si="9"/>
        <v/>
      </c>
      <c r="C21" s="472">
        <f>IF(D11="","-",+C20+1)</f>
        <v>2024</v>
      </c>
      <c r="D21" s="483">
        <f>IF(F20+SUM(E$17:E20)=D$10,F20,D$10-SUM(E$17:E20))</f>
        <v>2343896.1561461799</v>
      </c>
      <c r="E21" s="484">
        <f t="shared" si="3"/>
        <v>58985.79069767442</v>
      </c>
      <c r="F21" s="485">
        <f t="shared" si="4"/>
        <v>2284910.3654485056</v>
      </c>
      <c r="G21" s="486">
        <f t="shared" si="5"/>
        <v>325272.54819144821</v>
      </c>
      <c r="H21" s="455">
        <f t="shared" si="6"/>
        <v>325272.54819144821</v>
      </c>
      <c r="I21" s="475">
        <f t="shared" si="7"/>
        <v>0</v>
      </c>
      <c r="J21" s="475"/>
      <c r="K21" s="487"/>
      <c r="L21" s="478">
        <f t="shared" si="8"/>
        <v>0</v>
      </c>
      <c r="M21" s="487"/>
      <c r="N21" s="478">
        <f t="shared" si="1"/>
        <v>0</v>
      </c>
      <c r="O21" s="478">
        <f t="shared" si="2"/>
        <v>0</v>
      </c>
      <c r="P21" s="243"/>
    </row>
    <row r="22" spans="2:16">
      <c r="B22" s="160" t="str">
        <f t="shared" si="9"/>
        <v/>
      </c>
      <c r="C22" s="472">
        <f>IF(D11="","-",+C21+1)</f>
        <v>2025</v>
      </c>
      <c r="D22" s="483">
        <f>IF(F21+SUM(E$17:E21)=D$10,F21,D$10-SUM(E$17:E21))</f>
        <v>2284910.3654485056</v>
      </c>
      <c r="E22" s="484">
        <f t="shared" si="3"/>
        <v>58985.79069767442</v>
      </c>
      <c r="F22" s="485">
        <f t="shared" si="4"/>
        <v>2225924.5747508314</v>
      </c>
      <c r="G22" s="486">
        <f t="shared" si="5"/>
        <v>318485.85928154801</v>
      </c>
      <c r="H22" s="455">
        <f t="shared" si="6"/>
        <v>318485.85928154801</v>
      </c>
      <c r="I22" s="475">
        <f t="shared" si="7"/>
        <v>0</v>
      </c>
      <c r="J22" s="475"/>
      <c r="K22" s="487"/>
      <c r="L22" s="478">
        <f t="shared" si="8"/>
        <v>0</v>
      </c>
      <c r="M22" s="487"/>
      <c r="N22" s="478">
        <f t="shared" si="1"/>
        <v>0</v>
      </c>
      <c r="O22" s="478">
        <f t="shared" si="2"/>
        <v>0</v>
      </c>
      <c r="P22" s="243"/>
    </row>
    <row r="23" spans="2:16">
      <c r="B23" s="160" t="str">
        <f t="shared" si="9"/>
        <v/>
      </c>
      <c r="C23" s="472">
        <f>IF(D11="","-",+C22+1)</f>
        <v>2026</v>
      </c>
      <c r="D23" s="483">
        <f>IF(F22+SUM(E$17:E22)=D$10,F22,D$10-SUM(E$17:E22))</f>
        <v>2225924.5747508314</v>
      </c>
      <c r="E23" s="484">
        <f t="shared" si="3"/>
        <v>58985.79069767442</v>
      </c>
      <c r="F23" s="485">
        <f t="shared" si="4"/>
        <v>2166938.7840531571</v>
      </c>
      <c r="G23" s="486">
        <f t="shared" si="5"/>
        <v>311699.17037164787</v>
      </c>
      <c r="H23" s="455">
        <f t="shared" si="6"/>
        <v>311699.17037164787</v>
      </c>
      <c r="I23" s="475">
        <f t="shared" si="7"/>
        <v>0</v>
      </c>
      <c r="J23" s="475"/>
      <c r="K23" s="487"/>
      <c r="L23" s="478">
        <f t="shared" si="8"/>
        <v>0</v>
      </c>
      <c r="M23" s="487"/>
      <c r="N23" s="478">
        <f t="shared" si="1"/>
        <v>0</v>
      </c>
      <c r="O23" s="478">
        <f t="shared" si="2"/>
        <v>0</v>
      </c>
      <c r="P23" s="243"/>
    </row>
    <row r="24" spans="2:16">
      <c r="B24" s="160" t="str">
        <f t="shared" si="9"/>
        <v/>
      </c>
      <c r="C24" s="472">
        <f>IF(D11="","-",+C23+1)</f>
        <v>2027</v>
      </c>
      <c r="D24" s="483">
        <f>IF(F23+SUM(E$17:E23)=D$10,F23,D$10-SUM(E$17:E23))</f>
        <v>2166938.7840531571</v>
      </c>
      <c r="E24" s="484">
        <f t="shared" si="3"/>
        <v>58985.79069767442</v>
      </c>
      <c r="F24" s="485">
        <f t="shared" si="4"/>
        <v>2107952.9933554828</v>
      </c>
      <c r="G24" s="486">
        <f t="shared" si="5"/>
        <v>304912.48146174772</v>
      </c>
      <c r="H24" s="455">
        <f t="shared" si="6"/>
        <v>304912.48146174772</v>
      </c>
      <c r="I24" s="475">
        <f t="shared" si="7"/>
        <v>0</v>
      </c>
      <c r="J24" s="475"/>
      <c r="K24" s="487"/>
      <c r="L24" s="478">
        <f t="shared" si="8"/>
        <v>0</v>
      </c>
      <c r="M24" s="487"/>
      <c r="N24" s="478">
        <f t="shared" si="1"/>
        <v>0</v>
      </c>
      <c r="O24" s="478">
        <f t="shared" si="2"/>
        <v>0</v>
      </c>
      <c r="P24" s="243"/>
    </row>
    <row r="25" spans="2:16">
      <c r="B25" s="160" t="str">
        <f t="shared" si="9"/>
        <v/>
      </c>
      <c r="C25" s="472">
        <f>IF(D11="","-",+C24+1)</f>
        <v>2028</v>
      </c>
      <c r="D25" s="483">
        <f>IF(F24+SUM(E$17:E24)=D$10,F24,D$10-SUM(E$17:E24))</f>
        <v>2107952.9933554828</v>
      </c>
      <c r="E25" s="484">
        <f t="shared" si="3"/>
        <v>58985.79069767442</v>
      </c>
      <c r="F25" s="485">
        <f t="shared" si="4"/>
        <v>2048967.2026578083</v>
      </c>
      <c r="G25" s="486">
        <f t="shared" si="5"/>
        <v>298125.79255184758</v>
      </c>
      <c r="H25" s="455">
        <f t="shared" si="6"/>
        <v>298125.79255184758</v>
      </c>
      <c r="I25" s="475">
        <f t="shared" si="7"/>
        <v>0</v>
      </c>
      <c r="J25" s="475"/>
      <c r="K25" s="487"/>
      <c r="L25" s="478">
        <f t="shared" si="8"/>
        <v>0</v>
      </c>
      <c r="M25" s="487"/>
      <c r="N25" s="478">
        <f t="shared" si="1"/>
        <v>0</v>
      </c>
      <c r="O25" s="478">
        <f t="shared" si="2"/>
        <v>0</v>
      </c>
      <c r="P25" s="243"/>
    </row>
    <row r="26" spans="2:16">
      <c r="B26" s="160" t="str">
        <f t="shared" si="9"/>
        <v/>
      </c>
      <c r="C26" s="472">
        <f>IF(D11="","-",+C25+1)</f>
        <v>2029</v>
      </c>
      <c r="D26" s="483">
        <f>IF(F25+SUM(E$17:E25)=D$10,F25,D$10-SUM(E$17:E25))</f>
        <v>2048967.2026578083</v>
      </c>
      <c r="E26" s="484">
        <f t="shared" si="3"/>
        <v>58985.79069767442</v>
      </c>
      <c r="F26" s="485">
        <f t="shared" si="4"/>
        <v>1989981.4119601338</v>
      </c>
      <c r="G26" s="486">
        <f t="shared" si="5"/>
        <v>291339.10364194738</v>
      </c>
      <c r="H26" s="455">
        <f t="shared" si="6"/>
        <v>291339.10364194738</v>
      </c>
      <c r="I26" s="475">
        <f t="shared" si="7"/>
        <v>0</v>
      </c>
      <c r="J26" s="475"/>
      <c r="K26" s="487"/>
      <c r="L26" s="478">
        <f t="shared" si="8"/>
        <v>0</v>
      </c>
      <c r="M26" s="487"/>
      <c r="N26" s="478">
        <f t="shared" si="1"/>
        <v>0</v>
      </c>
      <c r="O26" s="478">
        <f t="shared" si="2"/>
        <v>0</v>
      </c>
      <c r="P26" s="243"/>
    </row>
    <row r="27" spans="2:16">
      <c r="B27" s="160" t="str">
        <f t="shared" si="9"/>
        <v/>
      </c>
      <c r="C27" s="472">
        <f>IF(D11="","-",+C26+1)</f>
        <v>2030</v>
      </c>
      <c r="D27" s="483">
        <f>IF(F26+SUM(E$17:E26)=D$10,F26,D$10-SUM(E$17:E26))</f>
        <v>1989981.4119601338</v>
      </c>
      <c r="E27" s="484">
        <f t="shared" si="3"/>
        <v>58985.79069767442</v>
      </c>
      <c r="F27" s="485">
        <f t="shared" si="4"/>
        <v>1930995.6212624593</v>
      </c>
      <c r="G27" s="486">
        <f t="shared" si="5"/>
        <v>284552.41473204718</v>
      </c>
      <c r="H27" s="455">
        <f t="shared" si="6"/>
        <v>284552.41473204718</v>
      </c>
      <c r="I27" s="475">
        <f t="shared" si="7"/>
        <v>0</v>
      </c>
      <c r="J27" s="475"/>
      <c r="K27" s="487"/>
      <c r="L27" s="478">
        <f t="shared" si="8"/>
        <v>0</v>
      </c>
      <c r="M27" s="487"/>
      <c r="N27" s="478">
        <f t="shared" si="1"/>
        <v>0</v>
      </c>
      <c r="O27" s="478">
        <f t="shared" si="2"/>
        <v>0</v>
      </c>
      <c r="P27" s="243"/>
    </row>
    <row r="28" spans="2:16">
      <c r="B28" s="160" t="str">
        <f t="shared" si="9"/>
        <v/>
      </c>
      <c r="C28" s="472">
        <f>IF(D11="","-",+C27+1)</f>
        <v>2031</v>
      </c>
      <c r="D28" s="483">
        <f>IF(F27+SUM(E$17:E27)=D$10,F27,D$10-SUM(E$17:E27))</f>
        <v>1930995.6212624593</v>
      </c>
      <c r="E28" s="484">
        <f t="shared" si="3"/>
        <v>58985.79069767442</v>
      </c>
      <c r="F28" s="485">
        <f t="shared" si="4"/>
        <v>1872009.8305647848</v>
      </c>
      <c r="G28" s="486">
        <f t="shared" si="5"/>
        <v>277765.72582214698</v>
      </c>
      <c r="H28" s="455">
        <f t="shared" si="6"/>
        <v>277765.72582214698</v>
      </c>
      <c r="I28" s="475">
        <f t="shared" si="7"/>
        <v>0</v>
      </c>
      <c r="J28" s="475"/>
      <c r="K28" s="487"/>
      <c r="L28" s="478">
        <f t="shared" si="8"/>
        <v>0</v>
      </c>
      <c r="M28" s="487"/>
      <c r="N28" s="478">
        <f t="shared" si="1"/>
        <v>0</v>
      </c>
      <c r="O28" s="478">
        <f t="shared" si="2"/>
        <v>0</v>
      </c>
      <c r="P28" s="243"/>
    </row>
    <row r="29" spans="2:16">
      <c r="B29" s="160" t="str">
        <f t="shared" si="9"/>
        <v/>
      </c>
      <c r="C29" s="472">
        <f>IF(D11="","-",+C28+1)</f>
        <v>2032</v>
      </c>
      <c r="D29" s="483">
        <f>IF(F28+SUM(E$17:E28)=D$10,F28,D$10-SUM(E$17:E28))</f>
        <v>1872009.8305647848</v>
      </c>
      <c r="E29" s="484">
        <f t="shared" si="3"/>
        <v>58985.79069767442</v>
      </c>
      <c r="F29" s="485">
        <f t="shared" si="4"/>
        <v>1813024.0398671103</v>
      </c>
      <c r="G29" s="486">
        <f t="shared" si="5"/>
        <v>270979.03691224684</v>
      </c>
      <c r="H29" s="455">
        <f t="shared" si="6"/>
        <v>270979.03691224684</v>
      </c>
      <c r="I29" s="475">
        <f t="shared" si="7"/>
        <v>0</v>
      </c>
      <c r="J29" s="475"/>
      <c r="K29" s="487"/>
      <c r="L29" s="478">
        <f t="shared" si="8"/>
        <v>0</v>
      </c>
      <c r="M29" s="487"/>
      <c r="N29" s="478">
        <f t="shared" si="1"/>
        <v>0</v>
      </c>
      <c r="O29" s="478">
        <f t="shared" si="2"/>
        <v>0</v>
      </c>
      <c r="P29" s="243"/>
    </row>
    <row r="30" spans="2:16">
      <c r="B30" s="160" t="str">
        <f t="shared" si="9"/>
        <v/>
      </c>
      <c r="C30" s="472">
        <f>IF(D11="","-",+C29+1)</f>
        <v>2033</v>
      </c>
      <c r="D30" s="483">
        <f>IF(F29+SUM(E$17:E29)=D$10,F29,D$10-SUM(E$17:E29))</f>
        <v>1813024.0398671103</v>
      </c>
      <c r="E30" s="484">
        <f t="shared" si="3"/>
        <v>58985.79069767442</v>
      </c>
      <c r="F30" s="485">
        <f t="shared" si="4"/>
        <v>1754038.2491694358</v>
      </c>
      <c r="G30" s="486">
        <f t="shared" si="5"/>
        <v>264192.34800234664</v>
      </c>
      <c r="H30" s="455">
        <f t="shared" si="6"/>
        <v>264192.34800234664</v>
      </c>
      <c r="I30" s="475">
        <f t="shared" si="7"/>
        <v>0</v>
      </c>
      <c r="J30" s="475"/>
      <c r="K30" s="487"/>
      <c r="L30" s="478">
        <f t="shared" si="8"/>
        <v>0</v>
      </c>
      <c r="M30" s="487"/>
      <c r="N30" s="478">
        <f t="shared" si="1"/>
        <v>0</v>
      </c>
      <c r="O30" s="478">
        <f t="shared" si="2"/>
        <v>0</v>
      </c>
      <c r="P30" s="243"/>
    </row>
    <row r="31" spans="2:16">
      <c r="B31" s="160" t="str">
        <f t="shared" si="9"/>
        <v/>
      </c>
      <c r="C31" s="472">
        <f>IF(D11="","-",+C30+1)</f>
        <v>2034</v>
      </c>
      <c r="D31" s="483">
        <f>IF(F30+SUM(E$17:E30)=D$10,F30,D$10-SUM(E$17:E30))</f>
        <v>1754038.2491694358</v>
      </c>
      <c r="E31" s="484">
        <f t="shared" si="3"/>
        <v>58985.79069767442</v>
      </c>
      <c r="F31" s="485">
        <f t="shared" si="4"/>
        <v>1695052.4584717613</v>
      </c>
      <c r="G31" s="486">
        <f t="shared" si="5"/>
        <v>257405.65909244647</v>
      </c>
      <c r="H31" s="455">
        <f t="shared" si="6"/>
        <v>257405.65909244647</v>
      </c>
      <c r="I31" s="475">
        <f t="shared" si="7"/>
        <v>0</v>
      </c>
      <c r="J31" s="475"/>
      <c r="K31" s="487"/>
      <c r="L31" s="478">
        <f t="shared" si="8"/>
        <v>0</v>
      </c>
      <c r="M31" s="487"/>
      <c r="N31" s="478">
        <f t="shared" si="1"/>
        <v>0</v>
      </c>
      <c r="O31" s="478">
        <f t="shared" si="2"/>
        <v>0</v>
      </c>
      <c r="P31" s="243"/>
    </row>
    <row r="32" spans="2:16">
      <c r="B32" s="160" t="str">
        <f t="shared" si="9"/>
        <v/>
      </c>
      <c r="C32" s="472">
        <f>IF(D11="","-",+C31+1)</f>
        <v>2035</v>
      </c>
      <c r="D32" s="483">
        <f>IF(F31+SUM(E$17:E31)=D$10,F31,D$10-SUM(E$17:E31))</f>
        <v>1695052.4584717613</v>
      </c>
      <c r="E32" s="484">
        <f t="shared" si="3"/>
        <v>58985.79069767442</v>
      </c>
      <c r="F32" s="485">
        <f t="shared" si="4"/>
        <v>1636066.6677740868</v>
      </c>
      <c r="G32" s="486">
        <f t="shared" si="5"/>
        <v>250618.97018254624</v>
      </c>
      <c r="H32" s="455">
        <f t="shared" si="6"/>
        <v>250618.97018254624</v>
      </c>
      <c r="I32" s="475">
        <f t="shared" si="7"/>
        <v>0</v>
      </c>
      <c r="J32" s="475"/>
      <c r="K32" s="487"/>
      <c r="L32" s="478">
        <f t="shared" si="8"/>
        <v>0</v>
      </c>
      <c r="M32" s="487"/>
      <c r="N32" s="478">
        <f t="shared" si="1"/>
        <v>0</v>
      </c>
      <c r="O32" s="478">
        <f t="shared" si="2"/>
        <v>0</v>
      </c>
      <c r="P32" s="243"/>
    </row>
    <row r="33" spans="2:16">
      <c r="B33" s="160" t="str">
        <f t="shared" si="9"/>
        <v/>
      </c>
      <c r="C33" s="472">
        <f>IF(D11="","-",+C32+1)</f>
        <v>2036</v>
      </c>
      <c r="D33" s="483">
        <f>IF(F32+SUM(E$17:E32)=D$10,F32,D$10-SUM(E$17:E32))</f>
        <v>1636066.6677740868</v>
      </c>
      <c r="E33" s="484">
        <f t="shared" si="3"/>
        <v>58985.79069767442</v>
      </c>
      <c r="F33" s="485">
        <f t="shared" si="4"/>
        <v>1577080.8770764123</v>
      </c>
      <c r="G33" s="486">
        <f t="shared" si="5"/>
        <v>243832.2812726461</v>
      </c>
      <c r="H33" s="455">
        <f t="shared" si="6"/>
        <v>243832.2812726461</v>
      </c>
      <c r="I33" s="475">
        <f t="shared" si="7"/>
        <v>0</v>
      </c>
      <c r="J33" s="475"/>
      <c r="K33" s="487"/>
      <c r="L33" s="478">
        <f t="shared" si="8"/>
        <v>0</v>
      </c>
      <c r="M33" s="487"/>
      <c r="N33" s="478">
        <f t="shared" si="1"/>
        <v>0</v>
      </c>
      <c r="O33" s="478">
        <f t="shared" si="2"/>
        <v>0</v>
      </c>
      <c r="P33" s="243"/>
    </row>
    <row r="34" spans="2:16">
      <c r="B34" s="160" t="str">
        <f t="shared" si="9"/>
        <v/>
      </c>
      <c r="C34" s="472">
        <f>IF(D11="","-",+C33+1)</f>
        <v>2037</v>
      </c>
      <c r="D34" s="483">
        <f>IF(F33+SUM(E$17:E33)=D$10,F33,D$10-SUM(E$17:E33))</f>
        <v>1577080.8770764123</v>
      </c>
      <c r="E34" s="484">
        <f t="shared" si="3"/>
        <v>58985.79069767442</v>
      </c>
      <c r="F34" s="485">
        <f t="shared" si="4"/>
        <v>1518095.0863787378</v>
      </c>
      <c r="G34" s="486">
        <f t="shared" si="5"/>
        <v>237045.59236274587</v>
      </c>
      <c r="H34" s="455">
        <f t="shared" si="6"/>
        <v>237045.59236274587</v>
      </c>
      <c r="I34" s="475">
        <f t="shared" si="7"/>
        <v>0</v>
      </c>
      <c r="J34" s="475"/>
      <c r="K34" s="487"/>
      <c r="L34" s="478">
        <f t="shared" si="8"/>
        <v>0</v>
      </c>
      <c r="M34" s="487"/>
      <c r="N34" s="478">
        <f t="shared" si="1"/>
        <v>0</v>
      </c>
      <c r="O34" s="478">
        <f t="shared" si="2"/>
        <v>0</v>
      </c>
      <c r="P34" s="243"/>
    </row>
    <row r="35" spans="2:16">
      <c r="B35" s="160" t="str">
        <f t="shared" si="9"/>
        <v/>
      </c>
      <c r="C35" s="472">
        <f>IF(D11="","-",+C34+1)</f>
        <v>2038</v>
      </c>
      <c r="D35" s="483">
        <f>IF(F34+SUM(E$17:E34)=D$10,F34,D$10-SUM(E$17:E34))</f>
        <v>1518095.0863787378</v>
      </c>
      <c r="E35" s="484">
        <f t="shared" si="3"/>
        <v>58985.79069767442</v>
      </c>
      <c r="F35" s="485">
        <f t="shared" si="4"/>
        <v>1459109.2956810633</v>
      </c>
      <c r="G35" s="486">
        <f t="shared" si="5"/>
        <v>230258.90345284573</v>
      </c>
      <c r="H35" s="455">
        <f t="shared" si="6"/>
        <v>230258.90345284573</v>
      </c>
      <c r="I35" s="475">
        <f t="shared" si="7"/>
        <v>0</v>
      </c>
      <c r="J35" s="475"/>
      <c r="K35" s="487"/>
      <c r="L35" s="478">
        <f t="shared" si="8"/>
        <v>0</v>
      </c>
      <c r="M35" s="487"/>
      <c r="N35" s="478">
        <f t="shared" si="1"/>
        <v>0</v>
      </c>
      <c r="O35" s="478">
        <f t="shared" si="2"/>
        <v>0</v>
      </c>
      <c r="P35" s="243"/>
    </row>
    <row r="36" spans="2:16">
      <c r="B36" s="160" t="str">
        <f t="shared" si="9"/>
        <v/>
      </c>
      <c r="C36" s="472">
        <f>IF(D11="","-",+C35+1)</f>
        <v>2039</v>
      </c>
      <c r="D36" s="483">
        <f>IF(F35+SUM(E$17:E35)=D$10,F35,D$10-SUM(E$17:E35))</f>
        <v>1459109.2956810633</v>
      </c>
      <c r="E36" s="484">
        <f t="shared" si="3"/>
        <v>58985.79069767442</v>
      </c>
      <c r="F36" s="485">
        <f t="shared" si="4"/>
        <v>1400123.5049833888</v>
      </c>
      <c r="G36" s="486">
        <f t="shared" si="5"/>
        <v>223472.21454294553</v>
      </c>
      <c r="H36" s="455">
        <f t="shared" si="6"/>
        <v>223472.21454294553</v>
      </c>
      <c r="I36" s="475">
        <f t="shared" si="7"/>
        <v>0</v>
      </c>
      <c r="J36" s="475"/>
      <c r="K36" s="487"/>
      <c r="L36" s="478">
        <f t="shared" si="8"/>
        <v>0</v>
      </c>
      <c r="M36" s="487"/>
      <c r="N36" s="478">
        <f t="shared" si="1"/>
        <v>0</v>
      </c>
      <c r="O36" s="478">
        <f t="shared" si="2"/>
        <v>0</v>
      </c>
      <c r="P36" s="243"/>
    </row>
    <row r="37" spans="2:16">
      <c r="B37" s="160" t="str">
        <f t="shared" si="9"/>
        <v/>
      </c>
      <c r="C37" s="472">
        <f>IF(D11="","-",+C36+1)</f>
        <v>2040</v>
      </c>
      <c r="D37" s="483">
        <f>IF(F36+SUM(E$17:E36)=D$10,F36,D$10-SUM(E$17:E36))</f>
        <v>1400123.5049833888</v>
      </c>
      <c r="E37" s="484">
        <f t="shared" si="3"/>
        <v>58985.79069767442</v>
      </c>
      <c r="F37" s="485">
        <f t="shared" si="4"/>
        <v>1341137.7142857143</v>
      </c>
      <c r="G37" s="486">
        <f t="shared" si="5"/>
        <v>216685.52563304536</v>
      </c>
      <c r="H37" s="455">
        <f t="shared" si="6"/>
        <v>216685.52563304536</v>
      </c>
      <c r="I37" s="475">
        <f t="shared" si="7"/>
        <v>0</v>
      </c>
      <c r="J37" s="475"/>
      <c r="K37" s="487"/>
      <c r="L37" s="478">
        <f t="shared" si="8"/>
        <v>0</v>
      </c>
      <c r="M37" s="487"/>
      <c r="N37" s="478">
        <f t="shared" si="1"/>
        <v>0</v>
      </c>
      <c r="O37" s="478">
        <f t="shared" si="2"/>
        <v>0</v>
      </c>
      <c r="P37" s="243"/>
    </row>
    <row r="38" spans="2:16">
      <c r="B38" s="160" t="str">
        <f t="shared" si="9"/>
        <v/>
      </c>
      <c r="C38" s="472">
        <f>IF(D11="","-",+C37+1)</f>
        <v>2041</v>
      </c>
      <c r="D38" s="483">
        <f>IF(F37+SUM(E$17:E37)=D$10,F37,D$10-SUM(E$17:E37))</f>
        <v>1341137.7142857143</v>
      </c>
      <c r="E38" s="484">
        <f t="shared" si="3"/>
        <v>58985.79069767442</v>
      </c>
      <c r="F38" s="485">
        <f t="shared" si="4"/>
        <v>1282151.9235880398</v>
      </c>
      <c r="G38" s="486">
        <f t="shared" si="5"/>
        <v>209898.83672314516</v>
      </c>
      <c r="H38" s="455">
        <f t="shared" si="6"/>
        <v>209898.83672314516</v>
      </c>
      <c r="I38" s="475">
        <f t="shared" si="7"/>
        <v>0</v>
      </c>
      <c r="J38" s="475"/>
      <c r="K38" s="487"/>
      <c r="L38" s="478">
        <f t="shared" si="8"/>
        <v>0</v>
      </c>
      <c r="M38" s="487"/>
      <c r="N38" s="478">
        <f t="shared" si="1"/>
        <v>0</v>
      </c>
      <c r="O38" s="478">
        <f t="shared" si="2"/>
        <v>0</v>
      </c>
      <c r="P38" s="243"/>
    </row>
    <row r="39" spans="2:16">
      <c r="B39" s="160" t="str">
        <f t="shared" si="9"/>
        <v/>
      </c>
      <c r="C39" s="472">
        <f>IF(D11="","-",+C38+1)</f>
        <v>2042</v>
      </c>
      <c r="D39" s="483">
        <f>IF(F38+SUM(E$17:E38)=D$10,F38,D$10-SUM(E$17:E38))</f>
        <v>1282151.9235880398</v>
      </c>
      <c r="E39" s="484">
        <f t="shared" si="3"/>
        <v>58985.79069767442</v>
      </c>
      <c r="F39" s="485">
        <f t="shared" si="4"/>
        <v>1223166.1328903653</v>
      </c>
      <c r="G39" s="486">
        <f t="shared" si="5"/>
        <v>203112.14781324498</v>
      </c>
      <c r="H39" s="455">
        <f t="shared" si="6"/>
        <v>203112.14781324498</v>
      </c>
      <c r="I39" s="475">
        <f t="shared" si="7"/>
        <v>0</v>
      </c>
      <c r="J39" s="475"/>
      <c r="K39" s="487"/>
      <c r="L39" s="478">
        <f t="shared" si="8"/>
        <v>0</v>
      </c>
      <c r="M39" s="487"/>
      <c r="N39" s="478">
        <f t="shared" si="1"/>
        <v>0</v>
      </c>
      <c r="O39" s="478">
        <f t="shared" si="2"/>
        <v>0</v>
      </c>
      <c r="P39" s="243"/>
    </row>
    <row r="40" spans="2:16">
      <c r="B40" s="160" t="str">
        <f t="shared" si="9"/>
        <v/>
      </c>
      <c r="C40" s="472">
        <f>IF(D11="","-",+C39+1)</f>
        <v>2043</v>
      </c>
      <c r="D40" s="483">
        <f>IF(F39+SUM(E$17:E39)=D$10,F39,D$10-SUM(E$17:E39))</f>
        <v>1223166.1328903653</v>
      </c>
      <c r="E40" s="484">
        <f t="shared" si="3"/>
        <v>58985.79069767442</v>
      </c>
      <c r="F40" s="485">
        <f t="shared" si="4"/>
        <v>1164180.3421926908</v>
      </c>
      <c r="G40" s="486">
        <f t="shared" si="5"/>
        <v>196325.45890334478</v>
      </c>
      <c r="H40" s="455">
        <f t="shared" si="6"/>
        <v>196325.45890334478</v>
      </c>
      <c r="I40" s="475">
        <f t="shared" si="7"/>
        <v>0</v>
      </c>
      <c r="J40" s="475"/>
      <c r="K40" s="487"/>
      <c r="L40" s="478">
        <f t="shared" si="8"/>
        <v>0</v>
      </c>
      <c r="M40" s="487"/>
      <c r="N40" s="478">
        <f t="shared" si="1"/>
        <v>0</v>
      </c>
      <c r="O40" s="478">
        <f t="shared" si="2"/>
        <v>0</v>
      </c>
      <c r="P40" s="243"/>
    </row>
    <row r="41" spans="2:16">
      <c r="B41" s="160" t="str">
        <f t="shared" si="9"/>
        <v/>
      </c>
      <c r="C41" s="472">
        <f>IF(D11="","-",+C40+1)</f>
        <v>2044</v>
      </c>
      <c r="D41" s="483">
        <f>IF(F40+SUM(E$17:E40)=D$10,F40,D$10-SUM(E$17:E40))</f>
        <v>1164180.3421926908</v>
      </c>
      <c r="E41" s="484">
        <f t="shared" si="3"/>
        <v>58985.79069767442</v>
      </c>
      <c r="F41" s="485">
        <f t="shared" si="4"/>
        <v>1105194.5514950163</v>
      </c>
      <c r="G41" s="486">
        <f t="shared" si="5"/>
        <v>189538.76999344464</v>
      </c>
      <c r="H41" s="455">
        <f t="shared" si="6"/>
        <v>189538.76999344464</v>
      </c>
      <c r="I41" s="475">
        <f t="shared" si="7"/>
        <v>0</v>
      </c>
      <c r="J41" s="475"/>
      <c r="K41" s="487"/>
      <c r="L41" s="478">
        <f t="shared" si="8"/>
        <v>0</v>
      </c>
      <c r="M41" s="487"/>
      <c r="N41" s="478">
        <f t="shared" si="1"/>
        <v>0</v>
      </c>
      <c r="O41" s="478">
        <f t="shared" si="2"/>
        <v>0</v>
      </c>
      <c r="P41" s="243"/>
    </row>
    <row r="42" spans="2:16">
      <c r="B42" s="160" t="str">
        <f t="shared" si="9"/>
        <v/>
      </c>
      <c r="C42" s="472">
        <f>IF(D11="","-",+C41+1)</f>
        <v>2045</v>
      </c>
      <c r="D42" s="483">
        <f>IF(F41+SUM(E$17:E41)=D$10,F41,D$10-SUM(E$17:E41))</f>
        <v>1105194.5514950163</v>
      </c>
      <c r="E42" s="484">
        <f t="shared" si="3"/>
        <v>58985.79069767442</v>
      </c>
      <c r="F42" s="485">
        <f t="shared" si="4"/>
        <v>1046208.7607973419</v>
      </c>
      <c r="G42" s="486">
        <f t="shared" si="5"/>
        <v>182752.08108354447</v>
      </c>
      <c r="H42" s="455">
        <f t="shared" si="6"/>
        <v>182752.08108354447</v>
      </c>
      <c r="I42" s="475">
        <f t="shared" si="7"/>
        <v>0</v>
      </c>
      <c r="J42" s="475"/>
      <c r="K42" s="487"/>
      <c r="L42" s="478">
        <f t="shared" si="8"/>
        <v>0</v>
      </c>
      <c r="M42" s="487"/>
      <c r="N42" s="478">
        <f t="shared" si="1"/>
        <v>0</v>
      </c>
      <c r="O42" s="478">
        <f t="shared" si="2"/>
        <v>0</v>
      </c>
      <c r="P42" s="243"/>
    </row>
    <row r="43" spans="2:16">
      <c r="B43" s="160" t="str">
        <f t="shared" si="9"/>
        <v/>
      </c>
      <c r="C43" s="472">
        <f>IF(D11="","-",+C42+1)</f>
        <v>2046</v>
      </c>
      <c r="D43" s="483">
        <f>IF(F42+SUM(E$17:E42)=D$10,F42,D$10-SUM(E$17:E42))</f>
        <v>1046208.7607973419</v>
      </c>
      <c r="E43" s="484">
        <f t="shared" si="3"/>
        <v>58985.79069767442</v>
      </c>
      <c r="F43" s="485">
        <f t="shared" si="4"/>
        <v>987222.97009966755</v>
      </c>
      <c r="G43" s="486">
        <f t="shared" si="5"/>
        <v>175965.39217364427</v>
      </c>
      <c r="H43" s="455">
        <f t="shared" si="6"/>
        <v>175965.39217364427</v>
      </c>
      <c r="I43" s="475">
        <f t="shared" si="7"/>
        <v>0</v>
      </c>
      <c r="J43" s="475"/>
      <c r="K43" s="487"/>
      <c r="L43" s="478">
        <f t="shared" si="8"/>
        <v>0</v>
      </c>
      <c r="M43" s="487"/>
      <c r="N43" s="478">
        <f t="shared" si="1"/>
        <v>0</v>
      </c>
      <c r="O43" s="478">
        <f t="shared" si="2"/>
        <v>0</v>
      </c>
      <c r="P43" s="243"/>
    </row>
    <row r="44" spans="2:16">
      <c r="B44" s="160" t="str">
        <f t="shared" si="9"/>
        <v/>
      </c>
      <c r="C44" s="472">
        <f>IF(D11="","-",+C43+1)</f>
        <v>2047</v>
      </c>
      <c r="D44" s="483">
        <f>IF(F43+SUM(E$17:E43)=D$10,F43,D$10-SUM(E$17:E43))</f>
        <v>987222.97009966755</v>
      </c>
      <c r="E44" s="484">
        <f t="shared" si="3"/>
        <v>58985.79069767442</v>
      </c>
      <c r="F44" s="485">
        <f t="shared" si="4"/>
        <v>928237.17940199317</v>
      </c>
      <c r="G44" s="486">
        <f t="shared" si="5"/>
        <v>169178.70326374413</v>
      </c>
      <c r="H44" s="455">
        <f t="shared" si="6"/>
        <v>169178.70326374413</v>
      </c>
      <c r="I44" s="475">
        <f t="shared" si="7"/>
        <v>0</v>
      </c>
      <c r="J44" s="475"/>
      <c r="K44" s="487"/>
      <c r="L44" s="478">
        <f t="shared" si="8"/>
        <v>0</v>
      </c>
      <c r="M44" s="487"/>
      <c r="N44" s="478">
        <f t="shared" si="1"/>
        <v>0</v>
      </c>
      <c r="O44" s="478">
        <f t="shared" si="2"/>
        <v>0</v>
      </c>
      <c r="P44" s="243"/>
    </row>
    <row r="45" spans="2:16">
      <c r="B45" s="160" t="str">
        <f t="shared" si="9"/>
        <v/>
      </c>
      <c r="C45" s="472">
        <f>IF(D11="","-",+C44+1)</f>
        <v>2048</v>
      </c>
      <c r="D45" s="483">
        <f>IF(F44+SUM(E$17:E44)=D$10,F44,D$10-SUM(E$17:E44))</f>
        <v>928237.17940199317</v>
      </c>
      <c r="E45" s="484">
        <f t="shared" si="3"/>
        <v>58985.79069767442</v>
      </c>
      <c r="F45" s="485">
        <f t="shared" si="4"/>
        <v>869251.38870431879</v>
      </c>
      <c r="G45" s="486">
        <f t="shared" si="5"/>
        <v>162392.01435384393</v>
      </c>
      <c r="H45" s="455">
        <f t="shared" si="6"/>
        <v>162392.01435384393</v>
      </c>
      <c r="I45" s="475">
        <f t="shared" si="7"/>
        <v>0</v>
      </c>
      <c r="J45" s="475"/>
      <c r="K45" s="487"/>
      <c r="L45" s="478">
        <f t="shared" si="8"/>
        <v>0</v>
      </c>
      <c r="M45" s="487"/>
      <c r="N45" s="478">
        <f t="shared" si="1"/>
        <v>0</v>
      </c>
      <c r="O45" s="478">
        <f t="shared" si="2"/>
        <v>0</v>
      </c>
      <c r="P45" s="243"/>
    </row>
    <row r="46" spans="2:16">
      <c r="B46" s="160" t="str">
        <f t="shared" si="9"/>
        <v/>
      </c>
      <c r="C46" s="472">
        <f>IF(D11="","-",+C45+1)</f>
        <v>2049</v>
      </c>
      <c r="D46" s="483">
        <f>IF(F45+SUM(E$17:E45)=D$10,F45,D$10-SUM(E$17:E45))</f>
        <v>869251.38870431879</v>
      </c>
      <c r="E46" s="484">
        <f t="shared" si="3"/>
        <v>58985.79069767442</v>
      </c>
      <c r="F46" s="485">
        <f t="shared" si="4"/>
        <v>810265.5980066444</v>
      </c>
      <c r="G46" s="486">
        <f t="shared" si="5"/>
        <v>155605.32544394379</v>
      </c>
      <c r="H46" s="455">
        <f t="shared" si="6"/>
        <v>155605.32544394379</v>
      </c>
      <c r="I46" s="475">
        <f t="shared" si="7"/>
        <v>0</v>
      </c>
      <c r="J46" s="475"/>
      <c r="K46" s="487"/>
      <c r="L46" s="478">
        <f t="shared" si="8"/>
        <v>0</v>
      </c>
      <c r="M46" s="487"/>
      <c r="N46" s="478">
        <f t="shared" si="1"/>
        <v>0</v>
      </c>
      <c r="O46" s="478">
        <f t="shared" si="2"/>
        <v>0</v>
      </c>
      <c r="P46" s="243"/>
    </row>
    <row r="47" spans="2:16">
      <c r="B47" s="160" t="str">
        <f t="shared" si="9"/>
        <v/>
      </c>
      <c r="C47" s="472">
        <f>IF(D11="","-",+C46+1)</f>
        <v>2050</v>
      </c>
      <c r="D47" s="483">
        <f>IF(F46+SUM(E$17:E46)=D$10,F46,D$10-SUM(E$17:E46))</f>
        <v>810265.5980066444</v>
      </c>
      <c r="E47" s="484">
        <f t="shared" si="3"/>
        <v>58985.79069767442</v>
      </c>
      <c r="F47" s="485">
        <f t="shared" si="4"/>
        <v>751279.80730897002</v>
      </c>
      <c r="G47" s="486">
        <f t="shared" si="5"/>
        <v>148818.63653404359</v>
      </c>
      <c r="H47" s="455">
        <f t="shared" si="6"/>
        <v>148818.63653404359</v>
      </c>
      <c r="I47" s="475">
        <f t="shared" si="7"/>
        <v>0</v>
      </c>
      <c r="J47" s="475"/>
      <c r="K47" s="487"/>
      <c r="L47" s="478">
        <f t="shared" si="8"/>
        <v>0</v>
      </c>
      <c r="M47" s="487"/>
      <c r="N47" s="478">
        <f t="shared" si="1"/>
        <v>0</v>
      </c>
      <c r="O47" s="478">
        <f t="shared" si="2"/>
        <v>0</v>
      </c>
      <c r="P47" s="243"/>
    </row>
    <row r="48" spans="2:16">
      <c r="B48" s="160" t="str">
        <f t="shared" si="9"/>
        <v/>
      </c>
      <c r="C48" s="472">
        <f>IF(D11="","-",+C47+1)</f>
        <v>2051</v>
      </c>
      <c r="D48" s="483">
        <f>IF(F47+SUM(E$17:E47)=D$10,F47,D$10-SUM(E$17:E47))</f>
        <v>751279.80730897002</v>
      </c>
      <c r="E48" s="484">
        <f t="shared" si="3"/>
        <v>58985.79069767442</v>
      </c>
      <c r="F48" s="485">
        <f t="shared" si="4"/>
        <v>692294.01661129564</v>
      </c>
      <c r="G48" s="486">
        <f t="shared" si="5"/>
        <v>142031.94762414345</v>
      </c>
      <c r="H48" s="455">
        <f t="shared" si="6"/>
        <v>142031.94762414345</v>
      </c>
      <c r="I48" s="475">
        <f t="shared" si="7"/>
        <v>0</v>
      </c>
      <c r="J48" s="475"/>
      <c r="K48" s="487"/>
      <c r="L48" s="478">
        <f t="shared" si="8"/>
        <v>0</v>
      </c>
      <c r="M48" s="487"/>
      <c r="N48" s="478">
        <f t="shared" si="1"/>
        <v>0</v>
      </c>
      <c r="O48" s="478">
        <f t="shared" si="2"/>
        <v>0</v>
      </c>
      <c r="P48" s="243"/>
    </row>
    <row r="49" spans="2:16">
      <c r="B49" s="160" t="str">
        <f t="shared" si="9"/>
        <v/>
      </c>
      <c r="C49" s="472">
        <f>IF(D11="","-",+C48+1)</f>
        <v>2052</v>
      </c>
      <c r="D49" s="483">
        <f>IF(F48+SUM(E$17:E48)=D$10,F48,D$10-SUM(E$17:E48))</f>
        <v>692294.01661129564</v>
      </c>
      <c r="E49" s="484">
        <f t="shared" si="3"/>
        <v>58985.79069767442</v>
      </c>
      <c r="F49" s="485">
        <f t="shared" si="4"/>
        <v>633308.22591362125</v>
      </c>
      <c r="G49" s="486">
        <f t="shared" si="5"/>
        <v>135245.25871424327</v>
      </c>
      <c r="H49" s="455">
        <f t="shared" si="6"/>
        <v>135245.25871424327</v>
      </c>
      <c r="I49" s="475">
        <f t="shared" si="7"/>
        <v>0</v>
      </c>
      <c r="J49" s="475"/>
      <c r="K49" s="487"/>
      <c r="L49" s="478">
        <f t="shared" si="8"/>
        <v>0</v>
      </c>
      <c r="M49" s="487"/>
      <c r="N49" s="478">
        <f t="shared" si="1"/>
        <v>0</v>
      </c>
      <c r="O49" s="478">
        <f t="shared" si="2"/>
        <v>0</v>
      </c>
      <c r="P49" s="243"/>
    </row>
    <row r="50" spans="2:16">
      <c r="B50" s="160" t="str">
        <f t="shared" si="9"/>
        <v/>
      </c>
      <c r="C50" s="472">
        <f>IF(D11="","-",+C49+1)</f>
        <v>2053</v>
      </c>
      <c r="D50" s="483">
        <f>IF(F49+SUM(E$17:E49)=D$10,F49,D$10-SUM(E$17:E49))</f>
        <v>633308.22591362125</v>
      </c>
      <c r="E50" s="484">
        <f t="shared" si="3"/>
        <v>58985.79069767442</v>
      </c>
      <c r="F50" s="485">
        <f t="shared" si="4"/>
        <v>574322.43521594687</v>
      </c>
      <c r="G50" s="486">
        <f t="shared" si="5"/>
        <v>128458.5698043431</v>
      </c>
      <c r="H50" s="455">
        <f t="shared" si="6"/>
        <v>128458.5698043431</v>
      </c>
      <c r="I50" s="475">
        <f t="shared" si="7"/>
        <v>0</v>
      </c>
      <c r="J50" s="475"/>
      <c r="K50" s="487"/>
      <c r="L50" s="478">
        <f t="shared" si="8"/>
        <v>0</v>
      </c>
      <c r="M50" s="487"/>
      <c r="N50" s="478">
        <f t="shared" si="1"/>
        <v>0</v>
      </c>
      <c r="O50" s="478">
        <f t="shared" si="2"/>
        <v>0</v>
      </c>
      <c r="P50" s="243"/>
    </row>
    <row r="51" spans="2:16">
      <c r="B51" s="160" t="str">
        <f t="shared" si="9"/>
        <v/>
      </c>
      <c r="C51" s="472">
        <f>IF(D11="","-",+C50+1)</f>
        <v>2054</v>
      </c>
      <c r="D51" s="483">
        <f>IF(F50+SUM(E$17:E50)=D$10,F50,D$10-SUM(E$17:E50))</f>
        <v>574322.43521594687</v>
      </c>
      <c r="E51" s="484">
        <f t="shared" si="3"/>
        <v>58985.79069767442</v>
      </c>
      <c r="F51" s="485">
        <f t="shared" si="4"/>
        <v>515336.64451827243</v>
      </c>
      <c r="G51" s="486">
        <f t="shared" si="5"/>
        <v>121671.88089444293</v>
      </c>
      <c r="H51" s="455">
        <f t="shared" si="6"/>
        <v>121671.88089444293</v>
      </c>
      <c r="I51" s="475">
        <f t="shared" si="7"/>
        <v>0</v>
      </c>
      <c r="J51" s="475"/>
      <c r="K51" s="487"/>
      <c r="L51" s="478">
        <f t="shared" si="8"/>
        <v>0</v>
      </c>
      <c r="M51" s="487"/>
      <c r="N51" s="478">
        <f t="shared" si="1"/>
        <v>0</v>
      </c>
      <c r="O51" s="478">
        <f t="shared" si="2"/>
        <v>0</v>
      </c>
      <c r="P51" s="243"/>
    </row>
    <row r="52" spans="2:16">
      <c r="B52" s="160" t="str">
        <f t="shared" si="9"/>
        <v/>
      </c>
      <c r="C52" s="472">
        <f>IF(D11="","-",+C51+1)</f>
        <v>2055</v>
      </c>
      <c r="D52" s="483">
        <f>IF(F51+SUM(E$17:E51)=D$10,F51,D$10-SUM(E$17:E51))</f>
        <v>515336.64451827243</v>
      </c>
      <c r="E52" s="484">
        <f t="shared" si="3"/>
        <v>58985.79069767442</v>
      </c>
      <c r="F52" s="485">
        <f t="shared" si="4"/>
        <v>456350.85382059799</v>
      </c>
      <c r="G52" s="486">
        <f t="shared" si="5"/>
        <v>114885.19198454276</v>
      </c>
      <c r="H52" s="455">
        <f t="shared" si="6"/>
        <v>114885.19198454276</v>
      </c>
      <c r="I52" s="475">
        <f t="shared" si="7"/>
        <v>0</v>
      </c>
      <c r="J52" s="475"/>
      <c r="K52" s="487"/>
      <c r="L52" s="478">
        <f t="shared" si="8"/>
        <v>0</v>
      </c>
      <c r="M52" s="487"/>
      <c r="N52" s="478">
        <f t="shared" si="1"/>
        <v>0</v>
      </c>
      <c r="O52" s="478">
        <f t="shared" si="2"/>
        <v>0</v>
      </c>
      <c r="P52" s="243"/>
    </row>
    <row r="53" spans="2:16">
      <c r="B53" s="160" t="str">
        <f t="shared" si="9"/>
        <v/>
      </c>
      <c r="C53" s="472">
        <f>IF(D11="","-",+C52+1)</f>
        <v>2056</v>
      </c>
      <c r="D53" s="483">
        <f>IF(F52+SUM(E$17:E52)=D$10,F52,D$10-SUM(E$17:E52))</f>
        <v>456350.85382059799</v>
      </c>
      <c r="E53" s="484">
        <f t="shared" si="3"/>
        <v>58985.79069767442</v>
      </c>
      <c r="F53" s="485">
        <f t="shared" si="4"/>
        <v>397365.06312292354</v>
      </c>
      <c r="G53" s="486">
        <f t="shared" si="5"/>
        <v>108098.50307464256</v>
      </c>
      <c r="H53" s="455">
        <f t="shared" si="6"/>
        <v>108098.50307464256</v>
      </c>
      <c r="I53" s="475">
        <f t="shared" si="7"/>
        <v>0</v>
      </c>
      <c r="J53" s="475"/>
      <c r="K53" s="487"/>
      <c r="L53" s="478">
        <f t="shared" si="8"/>
        <v>0</v>
      </c>
      <c r="M53" s="487"/>
      <c r="N53" s="478">
        <f t="shared" si="1"/>
        <v>0</v>
      </c>
      <c r="O53" s="478">
        <f t="shared" si="2"/>
        <v>0</v>
      </c>
      <c r="P53" s="243"/>
    </row>
    <row r="54" spans="2:16">
      <c r="B54" s="160" t="str">
        <f t="shared" si="9"/>
        <v/>
      </c>
      <c r="C54" s="472">
        <f>IF(D11="","-",+C53+1)</f>
        <v>2057</v>
      </c>
      <c r="D54" s="483">
        <f>IF(F53+SUM(E$17:E53)=D$10,F53,D$10-SUM(E$17:E53))</f>
        <v>397365.06312292354</v>
      </c>
      <c r="E54" s="484">
        <f t="shared" si="3"/>
        <v>58985.79069767442</v>
      </c>
      <c r="F54" s="485">
        <f t="shared" si="4"/>
        <v>338379.2724252491</v>
      </c>
      <c r="G54" s="486">
        <f t="shared" si="5"/>
        <v>101311.81416474239</v>
      </c>
      <c r="H54" s="455">
        <f t="shared" si="6"/>
        <v>101311.81416474239</v>
      </c>
      <c r="I54" s="475">
        <f t="shared" si="7"/>
        <v>0</v>
      </c>
      <c r="J54" s="475"/>
      <c r="K54" s="487"/>
      <c r="L54" s="478">
        <f t="shared" si="8"/>
        <v>0</v>
      </c>
      <c r="M54" s="487"/>
      <c r="N54" s="478">
        <f t="shared" si="1"/>
        <v>0</v>
      </c>
      <c r="O54" s="478">
        <f t="shared" si="2"/>
        <v>0</v>
      </c>
      <c r="P54" s="243"/>
    </row>
    <row r="55" spans="2:16">
      <c r="B55" s="160" t="str">
        <f t="shared" si="9"/>
        <v/>
      </c>
      <c r="C55" s="472">
        <f>IF(D11="","-",+C54+1)</f>
        <v>2058</v>
      </c>
      <c r="D55" s="483">
        <f>IF(F54+SUM(E$17:E54)=D$10,F54,D$10-SUM(E$17:E54))</f>
        <v>338379.2724252491</v>
      </c>
      <c r="E55" s="484">
        <f t="shared" si="3"/>
        <v>58985.79069767442</v>
      </c>
      <c r="F55" s="485">
        <f t="shared" si="4"/>
        <v>279393.48172757466</v>
      </c>
      <c r="G55" s="486">
        <f t="shared" si="5"/>
        <v>94525.12525484222</v>
      </c>
      <c r="H55" s="455">
        <f t="shared" si="6"/>
        <v>94525.12525484222</v>
      </c>
      <c r="I55" s="475">
        <f t="shared" si="7"/>
        <v>0</v>
      </c>
      <c r="J55" s="475"/>
      <c r="K55" s="487"/>
      <c r="L55" s="478">
        <f t="shared" si="8"/>
        <v>0</v>
      </c>
      <c r="M55" s="487"/>
      <c r="N55" s="478">
        <f t="shared" si="1"/>
        <v>0</v>
      </c>
      <c r="O55" s="478">
        <f t="shared" si="2"/>
        <v>0</v>
      </c>
      <c r="P55" s="243"/>
    </row>
    <row r="56" spans="2:16">
      <c r="B56" s="160" t="str">
        <f t="shared" si="9"/>
        <v/>
      </c>
      <c r="C56" s="472">
        <f>IF(D11="","-",+C55+1)</f>
        <v>2059</v>
      </c>
      <c r="D56" s="483">
        <f>IF(F55+SUM(E$17:E55)=D$10,F55,D$10-SUM(E$17:E55))</f>
        <v>279393.48172757466</v>
      </c>
      <c r="E56" s="484">
        <f t="shared" si="3"/>
        <v>58985.79069767442</v>
      </c>
      <c r="F56" s="485">
        <f t="shared" si="4"/>
        <v>220407.69102990025</v>
      </c>
      <c r="G56" s="486">
        <f t="shared" si="5"/>
        <v>87738.436344942049</v>
      </c>
      <c r="H56" s="455">
        <f t="shared" si="6"/>
        <v>87738.436344942049</v>
      </c>
      <c r="I56" s="475">
        <f t="shared" si="7"/>
        <v>0</v>
      </c>
      <c r="J56" s="475"/>
      <c r="K56" s="487"/>
      <c r="L56" s="478">
        <f t="shared" si="8"/>
        <v>0</v>
      </c>
      <c r="M56" s="487"/>
      <c r="N56" s="478">
        <f t="shared" si="1"/>
        <v>0</v>
      </c>
      <c r="O56" s="478">
        <f t="shared" si="2"/>
        <v>0</v>
      </c>
      <c r="P56" s="243"/>
    </row>
    <row r="57" spans="2:16">
      <c r="B57" s="160" t="str">
        <f t="shared" si="9"/>
        <v/>
      </c>
      <c r="C57" s="472">
        <f>IF(D11="","-",+C56+1)</f>
        <v>2060</v>
      </c>
      <c r="D57" s="483">
        <f>IF(F56+SUM(E$17:E56)=D$10,F56,D$10-SUM(E$17:E56))</f>
        <v>220407.69102990025</v>
      </c>
      <c r="E57" s="484">
        <f t="shared" si="3"/>
        <v>58985.79069767442</v>
      </c>
      <c r="F57" s="485">
        <f t="shared" si="4"/>
        <v>161421.90033222584</v>
      </c>
      <c r="G57" s="486">
        <f t="shared" si="5"/>
        <v>80951.747435041878</v>
      </c>
      <c r="H57" s="455">
        <f t="shared" si="6"/>
        <v>80951.747435041878</v>
      </c>
      <c r="I57" s="475">
        <f t="shared" si="7"/>
        <v>0</v>
      </c>
      <c r="J57" s="475"/>
      <c r="K57" s="487"/>
      <c r="L57" s="478">
        <f t="shared" si="8"/>
        <v>0</v>
      </c>
      <c r="M57" s="487"/>
      <c r="N57" s="478">
        <f t="shared" si="1"/>
        <v>0</v>
      </c>
      <c r="O57" s="478">
        <f t="shared" si="2"/>
        <v>0</v>
      </c>
      <c r="P57" s="243"/>
    </row>
    <row r="58" spans="2:16">
      <c r="B58" s="160" t="str">
        <f t="shared" si="9"/>
        <v/>
      </c>
      <c r="C58" s="472">
        <f>IF(D11="","-",+C57+1)</f>
        <v>2061</v>
      </c>
      <c r="D58" s="483">
        <f>IF(F57+SUM(E$17:E57)=D$10,F57,D$10-SUM(E$17:E57))</f>
        <v>161421.90033222584</v>
      </c>
      <c r="E58" s="484">
        <f t="shared" si="3"/>
        <v>58985.79069767442</v>
      </c>
      <c r="F58" s="485">
        <f t="shared" si="4"/>
        <v>102436.10963455142</v>
      </c>
      <c r="G58" s="486">
        <f t="shared" si="5"/>
        <v>74165.058525141707</v>
      </c>
      <c r="H58" s="455">
        <f t="shared" si="6"/>
        <v>74165.058525141707</v>
      </c>
      <c r="I58" s="475">
        <f t="shared" si="7"/>
        <v>0</v>
      </c>
      <c r="J58" s="475"/>
      <c r="K58" s="487"/>
      <c r="L58" s="478">
        <f t="shared" si="8"/>
        <v>0</v>
      </c>
      <c r="M58" s="487"/>
      <c r="N58" s="478">
        <f t="shared" si="1"/>
        <v>0</v>
      </c>
      <c r="O58" s="478">
        <f t="shared" si="2"/>
        <v>0</v>
      </c>
      <c r="P58" s="243"/>
    </row>
    <row r="59" spans="2:16">
      <c r="B59" s="160" t="str">
        <f t="shared" si="9"/>
        <v/>
      </c>
      <c r="C59" s="472">
        <f>IF(D11="","-",+C58+1)</f>
        <v>2062</v>
      </c>
      <c r="D59" s="483">
        <f>IF(F58+SUM(E$17:E58)=D$10,F58,D$10-SUM(E$17:E58))</f>
        <v>102436.10963455142</v>
      </c>
      <c r="E59" s="484">
        <f t="shared" si="3"/>
        <v>58985.79069767442</v>
      </c>
      <c r="F59" s="485">
        <f t="shared" si="4"/>
        <v>43450.318936877004</v>
      </c>
      <c r="G59" s="486">
        <f t="shared" si="5"/>
        <v>67378.369615241536</v>
      </c>
      <c r="H59" s="455">
        <f t="shared" si="6"/>
        <v>67378.369615241536</v>
      </c>
      <c r="I59" s="475">
        <f t="shared" si="7"/>
        <v>0</v>
      </c>
      <c r="J59" s="475"/>
      <c r="K59" s="487"/>
      <c r="L59" s="478">
        <f t="shared" si="8"/>
        <v>0</v>
      </c>
      <c r="M59" s="487"/>
      <c r="N59" s="478">
        <f t="shared" si="1"/>
        <v>0</v>
      </c>
      <c r="O59" s="478">
        <f t="shared" si="2"/>
        <v>0</v>
      </c>
      <c r="P59" s="243"/>
    </row>
    <row r="60" spans="2:16">
      <c r="B60" s="160" t="str">
        <f t="shared" si="9"/>
        <v/>
      </c>
      <c r="C60" s="472">
        <f>IF(D11="","-",+C59+1)</f>
        <v>2063</v>
      </c>
      <c r="D60" s="483">
        <f>IF(F59+SUM(E$17:E59)=D$10,F59,D$10-SUM(E$17:E59))</f>
        <v>43450.318936877004</v>
      </c>
      <c r="E60" s="484">
        <f t="shared" si="3"/>
        <v>43450.318936877004</v>
      </c>
      <c r="F60" s="485">
        <f t="shared" si="4"/>
        <v>0</v>
      </c>
      <c r="G60" s="486">
        <f t="shared" si="5"/>
        <v>45949.936168185515</v>
      </c>
      <c r="H60" s="455">
        <f t="shared" si="6"/>
        <v>45949.936168185515</v>
      </c>
      <c r="I60" s="475">
        <f t="shared" si="7"/>
        <v>0</v>
      </c>
      <c r="J60" s="475"/>
      <c r="K60" s="487"/>
      <c r="L60" s="478">
        <f t="shared" si="8"/>
        <v>0</v>
      </c>
      <c r="M60" s="487"/>
      <c r="N60" s="478">
        <f t="shared" si="1"/>
        <v>0</v>
      </c>
      <c r="O60" s="478">
        <f t="shared" si="2"/>
        <v>0</v>
      </c>
      <c r="P60" s="243"/>
    </row>
    <row r="61" spans="2:16">
      <c r="B61" s="160" t="str">
        <f t="shared" si="9"/>
        <v/>
      </c>
      <c r="C61" s="472">
        <f>IF(D11="","-",+C60+1)</f>
        <v>2064</v>
      </c>
      <c r="D61" s="483">
        <f>IF(F60+SUM(E$17:E60)=D$10,F60,D$10-SUM(E$17:E60))</f>
        <v>0</v>
      </c>
      <c r="E61" s="484">
        <f t="shared" si="3"/>
        <v>0</v>
      </c>
      <c r="F61" s="485">
        <f t="shared" si="4"/>
        <v>0</v>
      </c>
      <c r="G61" s="486">
        <f t="shared" si="5"/>
        <v>0</v>
      </c>
      <c r="H61" s="455">
        <f t="shared" si="6"/>
        <v>0</v>
      </c>
      <c r="I61" s="475">
        <f t="shared" si="7"/>
        <v>0</v>
      </c>
      <c r="J61" s="475"/>
      <c r="K61" s="487"/>
      <c r="L61" s="478">
        <f t="shared" si="8"/>
        <v>0</v>
      </c>
      <c r="M61" s="487"/>
      <c r="N61" s="478">
        <f t="shared" si="1"/>
        <v>0</v>
      </c>
      <c r="O61" s="478">
        <f t="shared" si="2"/>
        <v>0</v>
      </c>
      <c r="P61" s="243"/>
    </row>
    <row r="62" spans="2:16">
      <c r="B62" s="160" t="str">
        <f t="shared" si="9"/>
        <v/>
      </c>
      <c r="C62" s="472">
        <f>IF(D11="","-",+C61+1)</f>
        <v>2065</v>
      </c>
      <c r="D62" s="483">
        <f>IF(F61+SUM(E$17:E61)=D$10,F61,D$10-SUM(E$17:E61))</f>
        <v>0</v>
      </c>
      <c r="E62" s="484">
        <f t="shared" si="3"/>
        <v>0</v>
      </c>
      <c r="F62" s="485">
        <f t="shared" si="4"/>
        <v>0</v>
      </c>
      <c r="G62" s="486">
        <f t="shared" si="5"/>
        <v>0</v>
      </c>
      <c r="H62" s="455">
        <f t="shared" si="6"/>
        <v>0</v>
      </c>
      <c r="I62" s="475">
        <f t="shared" si="7"/>
        <v>0</v>
      </c>
      <c r="J62" s="475"/>
      <c r="K62" s="487"/>
      <c r="L62" s="478">
        <f t="shared" si="8"/>
        <v>0</v>
      </c>
      <c r="M62" s="487"/>
      <c r="N62" s="478">
        <f t="shared" si="1"/>
        <v>0</v>
      </c>
      <c r="O62" s="478">
        <f t="shared" si="2"/>
        <v>0</v>
      </c>
      <c r="P62" s="243"/>
    </row>
    <row r="63" spans="2:16">
      <c r="B63" s="160" t="str">
        <f t="shared" si="9"/>
        <v/>
      </c>
      <c r="C63" s="472">
        <f>IF(D11="","-",+C62+1)</f>
        <v>2066</v>
      </c>
      <c r="D63" s="483">
        <f>IF(F62+SUM(E$17:E62)=D$10,F62,D$10-SUM(E$17:E62))</f>
        <v>0</v>
      </c>
      <c r="E63" s="484">
        <f t="shared" si="3"/>
        <v>0</v>
      </c>
      <c r="F63" s="485">
        <f t="shared" si="4"/>
        <v>0</v>
      </c>
      <c r="G63" s="486">
        <f t="shared" si="5"/>
        <v>0</v>
      </c>
      <c r="H63" s="455">
        <f t="shared" si="6"/>
        <v>0</v>
      </c>
      <c r="I63" s="475">
        <f t="shared" si="7"/>
        <v>0</v>
      </c>
      <c r="J63" s="475"/>
      <c r="K63" s="487"/>
      <c r="L63" s="478">
        <f t="shared" si="8"/>
        <v>0</v>
      </c>
      <c r="M63" s="487"/>
      <c r="N63" s="478">
        <f t="shared" si="1"/>
        <v>0</v>
      </c>
      <c r="O63" s="478">
        <f t="shared" si="2"/>
        <v>0</v>
      </c>
      <c r="P63" s="243"/>
    </row>
    <row r="64" spans="2:16">
      <c r="B64" s="160" t="str">
        <f t="shared" si="9"/>
        <v/>
      </c>
      <c r="C64" s="472">
        <f>IF(D11="","-",+C63+1)</f>
        <v>2067</v>
      </c>
      <c r="D64" s="483">
        <f>IF(F63+SUM(E$17:E63)=D$10,F63,D$10-SUM(E$17:E63))</f>
        <v>0</v>
      </c>
      <c r="E64" s="484">
        <f t="shared" si="3"/>
        <v>0</v>
      </c>
      <c r="F64" s="485">
        <f t="shared" si="4"/>
        <v>0</v>
      </c>
      <c r="G64" s="486">
        <f t="shared" si="5"/>
        <v>0</v>
      </c>
      <c r="H64" s="455">
        <f t="shared" si="6"/>
        <v>0</v>
      </c>
      <c r="I64" s="475">
        <f t="shared" si="7"/>
        <v>0</v>
      </c>
      <c r="J64" s="475"/>
      <c r="K64" s="487"/>
      <c r="L64" s="478">
        <f t="shared" si="8"/>
        <v>0</v>
      </c>
      <c r="M64" s="487"/>
      <c r="N64" s="478">
        <f t="shared" si="1"/>
        <v>0</v>
      </c>
      <c r="O64" s="478">
        <f t="shared" si="2"/>
        <v>0</v>
      </c>
      <c r="P64" s="243"/>
    </row>
    <row r="65" spans="2:16">
      <c r="B65" s="160" t="str">
        <f t="shared" si="9"/>
        <v/>
      </c>
      <c r="C65" s="472">
        <f>IF(D11="","-",+C64+1)</f>
        <v>2068</v>
      </c>
      <c r="D65" s="483">
        <f>IF(F64+SUM(E$17:E64)=D$10,F64,D$10-SUM(E$17:E64))</f>
        <v>0</v>
      </c>
      <c r="E65" s="484">
        <f t="shared" si="3"/>
        <v>0</v>
      </c>
      <c r="F65" s="485">
        <f t="shared" si="4"/>
        <v>0</v>
      </c>
      <c r="G65" s="486">
        <f t="shared" si="5"/>
        <v>0</v>
      </c>
      <c r="H65" s="455">
        <f t="shared" si="6"/>
        <v>0</v>
      </c>
      <c r="I65" s="475">
        <f t="shared" si="7"/>
        <v>0</v>
      </c>
      <c r="J65" s="475"/>
      <c r="K65" s="487"/>
      <c r="L65" s="478">
        <f t="shared" si="8"/>
        <v>0</v>
      </c>
      <c r="M65" s="487"/>
      <c r="N65" s="478">
        <f t="shared" si="1"/>
        <v>0</v>
      </c>
      <c r="O65" s="478">
        <f t="shared" si="2"/>
        <v>0</v>
      </c>
      <c r="P65" s="243"/>
    </row>
    <row r="66" spans="2:16">
      <c r="B66" s="160" t="str">
        <f t="shared" si="9"/>
        <v/>
      </c>
      <c r="C66" s="472">
        <f>IF(D11="","-",+C65+1)</f>
        <v>2069</v>
      </c>
      <c r="D66" s="483">
        <f>IF(F65+SUM(E$17:E65)=D$10,F65,D$10-SUM(E$17:E65))</f>
        <v>0</v>
      </c>
      <c r="E66" s="484">
        <f t="shared" si="3"/>
        <v>0</v>
      </c>
      <c r="F66" s="485">
        <f t="shared" si="4"/>
        <v>0</v>
      </c>
      <c r="G66" s="486">
        <f t="shared" si="5"/>
        <v>0</v>
      </c>
      <c r="H66" s="455">
        <f t="shared" si="6"/>
        <v>0</v>
      </c>
      <c r="I66" s="475">
        <f t="shared" si="7"/>
        <v>0</v>
      </c>
      <c r="J66" s="475"/>
      <c r="K66" s="487"/>
      <c r="L66" s="478">
        <f t="shared" si="8"/>
        <v>0</v>
      </c>
      <c r="M66" s="487"/>
      <c r="N66" s="478">
        <f t="shared" si="1"/>
        <v>0</v>
      </c>
      <c r="O66" s="478">
        <f t="shared" si="2"/>
        <v>0</v>
      </c>
      <c r="P66" s="243"/>
    </row>
    <row r="67" spans="2:16">
      <c r="B67" s="160" t="str">
        <f t="shared" si="9"/>
        <v/>
      </c>
      <c r="C67" s="472">
        <f>IF(D11="","-",+C66+1)</f>
        <v>2070</v>
      </c>
      <c r="D67" s="483">
        <f>IF(F66+SUM(E$17:E66)=D$10,F66,D$10-SUM(E$17:E66))</f>
        <v>0</v>
      </c>
      <c r="E67" s="484">
        <f t="shared" si="3"/>
        <v>0</v>
      </c>
      <c r="F67" s="485">
        <f t="shared" si="4"/>
        <v>0</v>
      </c>
      <c r="G67" s="486">
        <f t="shared" si="5"/>
        <v>0</v>
      </c>
      <c r="H67" s="455">
        <f t="shared" si="6"/>
        <v>0</v>
      </c>
      <c r="I67" s="475">
        <f t="shared" si="7"/>
        <v>0</v>
      </c>
      <c r="J67" s="475"/>
      <c r="K67" s="487"/>
      <c r="L67" s="478">
        <f t="shared" si="8"/>
        <v>0</v>
      </c>
      <c r="M67" s="487"/>
      <c r="N67" s="478">
        <f t="shared" si="1"/>
        <v>0</v>
      </c>
      <c r="O67" s="478">
        <f t="shared" si="2"/>
        <v>0</v>
      </c>
      <c r="P67" s="243"/>
    </row>
    <row r="68" spans="2:16">
      <c r="B68" s="160" t="str">
        <f t="shared" si="9"/>
        <v/>
      </c>
      <c r="C68" s="472">
        <f>IF(D11="","-",+C67+1)</f>
        <v>2071</v>
      </c>
      <c r="D68" s="483">
        <f>IF(F67+SUM(E$17:E67)=D$10,F67,D$10-SUM(E$17:E67))</f>
        <v>0</v>
      </c>
      <c r="E68" s="484">
        <f t="shared" si="3"/>
        <v>0</v>
      </c>
      <c r="F68" s="485">
        <f t="shared" si="4"/>
        <v>0</v>
      </c>
      <c r="G68" s="486">
        <f t="shared" si="5"/>
        <v>0</v>
      </c>
      <c r="H68" s="455">
        <f t="shared" si="6"/>
        <v>0</v>
      </c>
      <c r="I68" s="475">
        <f t="shared" si="7"/>
        <v>0</v>
      </c>
      <c r="J68" s="475"/>
      <c r="K68" s="487"/>
      <c r="L68" s="478">
        <f t="shared" si="8"/>
        <v>0</v>
      </c>
      <c r="M68" s="487"/>
      <c r="N68" s="478">
        <f t="shared" si="1"/>
        <v>0</v>
      </c>
      <c r="O68" s="478">
        <f t="shared" si="2"/>
        <v>0</v>
      </c>
      <c r="P68" s="243"/>
    </row>
    <row r="69" spans="2:16">
      <c r="B69" s="160" t="str">
        <f t="shared" si="9"/>
        <v/>
      </c>
      <c r="C69" s="472">
        <f>IF(D11="","-",+C68+1)</f>
        <v>2072</v>
      </c>
      <c r="D69" s="483">
        <f>IF(F68+SUM(E$17:E68)=D$10,F68,D$10-SUM(E$17:E68))</f>
        <v>0</v>
      </c>
      <c r="E69" s="484">
        <f t="shared" si="3"/>
        <v>0</v>
      </c>
      <c r="F69" s="485">
        <f t="shared" si="4"/>
        <v>0</v>
      </c>
      <c r="G69" s="486">
        <f t="shared" si="5"/>
        <v>0</v>
      </c>
      <c r="H69" s="455">
        <f t="shared" si="6"/>
        <v>0</v>
      </c>
      <c r="I69" s="475">
        <f t="shared" si="7"/>
        <v>0</v>
      </c>
      <c r="J69" s="475"/>
      <c r="K69" s="487"/>
      <c r="L69" s="478">
        <f t="shared" si="8"/>
        <v>0</v>
      </c>
      <c r="M69" s="487"/>
      <c r="N69" s="478">
        <f t="shared" si="1"/>
        <v>0</v>
      </c>
      <c r="O69" s="478">
        <f t="shared" si="2"/>
        <v>0</v>
      </c>
      <c r="P69" s="243"/>
    </row>
    <row r="70" spans="2:16">
      <c r="B70" s="160" t="str">
        <f t="shared" si="9"/>
        <v/>
      </c>
      <c r="C70" s="472">
        <f>IF(D11="","-",+C69+1)</f>
        <v>2073</v>
      </c>
      <c r="D70" s="483">
        <f>IF(F69+SUM(E$17:E69)=D$10,F69,D$10-SUM(E$17:E69))</f>
        <v>0</v>
      </c>
      <c r="E70" s="484">
        <f t="shared" si="3"/>
        <v>0</v>
      </c>
      <c r="F70" s="485">
        <f t="shared" si="4"/>
        <v>0</v>
      </c>
      <c r="G70" s="486">
        <f t="shared" si="5"/>
        <v>0</v>
      </c>
      <c r="H70" s="455">
        <f t="shared" si="6"/>
        <v>0</v>
      </c>
      <c r="I70" s="475">
        <f t="shared" si="7"/>
        <v>0</v>
      </c>
      <c r="J70" s="475"/>
      <c r="K70" s="487"/>
      <c r="L70" s="478">
        <f t="shared" si="8"/>
        <v>0</v>
      </c>
      <c r="M70" s="487"/>
      <c r="N70" s="478">
        <f t="shared" si="1"/>
        <v>0</v>
      </c>
      <c r="O70" s="478">
        <f t="shared" si="2"/>
        <v>0</v>
      </c>
      <c r="P70" s="243"/>
    </row>
    <row r="71" spans="2:16">
      <c r="B71" s="160" t="str">
        <f t="shared" si="9"/>
        <v/>
      </c>
      <c r="C71" s="472">
        <f>IF(D11="","-",+C70+1)</f>
        <v>2074</v>
      </c>
      <c r="D71" s="483">
        <f>IF(F70+SUM(E$17:E70)=D$10,F70,D$10-SUM(E$17:E70))</f>
        <v>0</v>
      </c>
      <c r="E71" s="484">
        <f t="shared" si="3"/>
        <v>0</v>
      </c>
      <c r="F71" s="485">
        <f t="shared" si="4"/>
        <v>0</v>
      </c>
      <c r="G71" s="486">
        <f t="shared" si="5"/>
        <v>0</v>
      </c>
      <c r="H71" s="455">
        <f t="shared" si="6"/>
        <v>0</v>
      </c>
      <c r="I71" s="475">
        <f t="shared" si="7"/>
        <v>0</v>
      </c>
      <c r="J71" s="475"/>
      <c r="K71" s="487"/>
      <c r="L71" s="478">
        <f t="shared" si="8"/>
        <v>0</v>
      </c>
      <c r="M71" s="487"/>
      <c r="N71" s="478">
        <f t="shared" si="1"/>
        <v>0</v>
      </c>
      <c r="O71" s="478">
        <f t="shared" si="2"/>
        <v>0</v>
      </c>
      <c r="P71" s="243"/>
    </row>
    <row r="72" spans="2:16" ht="13.5" thickBot="1">
      <c r="B72" s="160" t="str">
        <f t="shared" si="9"/>
        <v/>
      </c>
      <c r="C72" s="489">
        <f>IF(D11="","-",+C71+1)</f>
        <v>2075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8"/>
        <v>0</v>
      </c>
      <c r="M72" s="494"/>
      <c r="N72" s="495">
        <f t="shared" si="1"/>
        <v>0</v>
      </c>
      <c r="O72" s="495">
        <f t="shared" si="2"/>
        <v>0</v>
      </c>
      <c r="P72" s="243"/>
    </row>
    <row r="73" spans="2:16">
      <c r="C73" s="347" t="s">
        <v>77</v>
      </c>
      <c r="D73" s="348"/>
      <c r="E73" s="348">
        <f>SUM(E17:E72)</f>
        <v>2536389</v>
      </c>
      <c r="F73" s="348"/>
      <c r="G73" s="348">
        <f>SUM(G17:G72)</f>
        <v>8785403.5556246974</v>
      </c>
      <c r="H73" s="348">
        <f>SUM(H17:H72)</f>
        <v>8785403.5556246974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16" t="str">
        <f ca="1">P1</f>
        <v>PSO Project 28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302407.38707255269</v>
      </c>
      <c r="N87" s="508">
        <f>IF(J92&lt;D11,0,VLOOKUP(J92,C17:O72,11))</f>
        <v>302407.38707255269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347061.69446301</v>
      </c>
      <c r="N88" s="512">
        <f>IF(J92&lt;D11,0,VLOOKUP(J92,C99:P154,7))</f>
        <v>347061.69446301</v>
      </c>
      <c r="O88" s="513">
        <f>+N88-M88</f>
        <v>0</v>
      </c>
      <c r="P88" s="233"/>
    </row>
    <row r="89" spans="1:16" ht="13.5" thickBot="1">
      <c r="C89" s="431" t="s">
        <v>92</v>
      </c>
      <c r="D89" s="514"/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44654.30739045731</v>
      </c>
      <c r="N89" s="517">
        <f>+N88-N87</f>
        <v>44654.30739045731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/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2537089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v>2020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v>6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61880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2020</v>
      </c>
      <c r="D99" s="584">
        <v>0</v>
      </c>
      <c r="E99" s="608">
        <v>0</v>
      </c>
      <c r="F99" s="584">
        <v>2529408</v>
      </c>
      <c r="G99" s="608">
        <v>1264704</v>
      </c>
      <c r="H99" s="587">
        <v>145816.89418304947</v>
      </c>
      <c r="I99" s="607">
        <v>145816.89418304947</v>
      </c>
      <c r="J99" s="478">
        <f>+I99-H99</f>
        <v>0</v>
      </c>
      <c r="K99" s="478"/>
      <c r="L99" s="477">
        <f>+H99</f>
        <v>145816.89418304947</v>
      </c>
      <c r="M99" s="477">
        <f t="shared" ref="M99" si="10">IF(L99&lt;&gt;0,+H99-L99,0)</f>
        <v>0</v>
      </c>
      <c r="N99" s="477">
        <f>+I99</f>
        <v>145816.89418304947</v>
      </c>
      <c r="O99" s="477">
        <f t="shared" ref="O99:O130" si="11">IF(N99&lt;&gt;0,+I99-N99,0)</f>
        <v>0</v>
      </c>
      <c r="P99" s="477">
        <f t="shared" ref="P99:P130" si="12">+O99-M99</f>
        <v>0</v>
      </c>
    </row>
    <row r="100" spans="1:16">
      <c r="B100" s="160" t="str">
        <f>IF(D100=F99,"","IU")</f>
        <v>IU</v>
      </c>
      <c r="C100" s="472">
        <f>IF(D93="","-",+C99+1)</f>
        <v>2021</v>
      </c>
      <c r="D100" s="347">
        <f>IF(F99+SUM(E$99:E99)=D$92,F99,D$92-SUM(E$99:E99))</f>
        <v>2537089</v>
      </c>
      <c r="E100" s="484">
        <f>IF(+J$96&lt;F99,J$96,D100)</f>
        <v>61880</v>
      </c>
      <c r="F100" s="485">
        <f>+D100-E100</f>
        <v>2475209</v>
      </c>
      <c r="G100" s="485">
        <f>+(F100+D100)/2</f>
        <v>2506149</v>
      </c>
      <c r="H100" s="486">
        <f>(D100+F100)/2*J$94+E100</f>
        <v>347061.69446301</v>
      </c>
      <c r="I100" s="542">
        <f t="shared" ref="I100" si="13">+J$95*G100+E100</f>
        <v>347061.69446301</v>
      </c>
      <c r="J100" s="478">
        <f t="shared" ref="J100:J130" si="14">+I100-H100</f>
        <v>0</v>
      </c>
      <c r="K100" s="478"/>
      <c r="L100" s="487"/>
      <c r="M100" s="478">
        <f t="shared" ref="M100:M130" si="15">IF(L100&lt;&gt;0,+H100-L100,0)</f>
        <v>0</v>
      </c>
      <c r="N100" s="487"/>
      <c r="O100" s="478">
        <f t="shared" si="11"/>
        <v>0</v>
      </c>
      <c r="P100" s="478">
        <f t="shared" si="12"/>
        <v>0</v>
      </c>
    </row>
    <row r="101" spans="1:16">
      <c r="B101" s="160" t="str">
        <f t="shared" ref="B101:B154" si="16">IF(D101=F100,"","IU")</f>
        <v/>
      </c>
      <c r="C101" s="472">
        <f>IF(D93="","-",+C100+1)</f>
        <v>2022</v>
      </c>
      <c r="D101" s="347">
        <f>IF(F100+SUM(E$99:E100)=D$92,F100,D$92-SUM(E$99:E100))</f>
        <v>2475209</v>
      </c>
      <c r="E101" s="484">
        <f t="shared" ref="E101:E154" si="17">IF(+J$96&lt;F100,J$96,D101)</f>
        <v>61880</v>
      </c>
      <c r="F101" s="485">
        <f t="shared" ref="F101:F154" si="18">+D101-E101</f>
        <v>2413329</v>
      </c>
      <c r="G101" s="485">
        <f t="shared" ref="G101:G154" si="19">+(F101+D101)/2</f>
        <v>2444269</v>
      </c>
      <c r="H101" s="486">
        <f t="shared" ref="H101:H153" si="20">(D101+F101)/2*J$94+E101</f>
        <v>340020.196430223</v>
      </c>
      <c r="I101" s="542">
        <f t="shared" ref="I101:I153" si="21">+J$95*G101+E101</f>
        <v>340020.196430223</v>
      </c>
      <c r="J101" s="478">
        <f t="shared" si="14"/>
        <v>0</v>
      </c>
      <c r="K101" s="478"/>
      <c r="L101" s="487"/>
      <c r="M101" s="478">
        <f t="shared" si="15"/>
        <v>0</v>
      </c>
      <c r="N101" s="487"/>
      <c r="O101" s="478">
        <f t="shared" si="11"/>
        <v>0</v>
      </c>
      <c r="P101" s="478">
        <f t="shared" si="12"/>
        <v>0</v>
      </c>
    </row>
    <row r="102" spans="1:16">
      <c r="B102" s="160" t="str">
        <f t="shared" si="16"/>
        <v/>
      </c>
      <c r="C102" s="472">
        <f>IF(D93="","-",+C101+1)</f>
        <v>2023</v>
      </c>
      <c r="D102" s="347">
        <f>IF(F101+SUM(E$99:E101)=D$92,F101,D$92-SUM(E$99:E101))</f>
        <v>2413329</v>
      </c>
      <c r="E102" s="484">
        <f t="shared" si="17"/>
        <v>61880</v>
      </c>
      <c r="F102" s="485">
        <f t="shared" si="18"/>
        <v>2351449</v>
      </c>
      <c r="G102" s="485">
        <f t="shared" si="19"/>
        <v>2382389</v>
      </c>
      <c r="H102" s="486">
        <f t="shared" si="20"/>
        <v>332978.698397436</v>
      </c>
      <c r="I102" s="542">
        <f t="shared" si="21"/>
        <v>332978.698397436</v>
      </c>
      <c r="J102" s="478">
        <f t="shared" si="14"/>
        <v>0</v>
      </c>
      <c r="K102" s="478"/>
      <c r="L102" s="487"/>
      <c r="M102" s="478">
        <f t="shared" si="15"/>
        <v>0</v>
      </c>
      <c r="N102" s="487"/>
      <c r="O102" s="478">
        <f t="shared" si="11"/>
        <v>0</v>
      </c>
      <c r="P102" s="478">
        <f t="shared" si="12"/>
        <v>0</v>
      </c>
    </row>
    <row r="103" spans="1:16">
      <c r="B103" s="160" t="str">
        <f t="shared" si="16"/>
        <v/>
      </c>
      <c r="C103" s="472">
        <f>IF(D93="","-",+C102+1)</f>
        <v>2024</v>
      </c>
      <c r="D103" s="347">
        <f>IF(F102+SUM(E$99:E102)=D$92,F102,D$92-SUM(E$99:E102))</f>
        <v>2351449</v>
      </c>
      <c r="E103" s="484">
        <f t="shared" si="17"/>
        <v>61880</v>
      </c>
      <c r="F103" s="485">
        <f t="shared" si="18"/>
        <v>2289569</v>
      </c>
      <c r="G103" s="485">
        <f t="shared" si="19"/>
        <v>2320509</v>
      </c>
      <c r="H103" s="486">
        <f t="shared" si="20"/>
        <v>325937.20036464906</v>
      </c>
      <c r="I103" s="542">
        <f t="shared" si="21"/>
        <v>325937.20036464906</v>
      </c>
      <c r="J103" s="478">
        <f t="shared" si="14"/>
        <v>0</v>
      </c>
      <c r="K103" s="478"/>
      <c r="L103" s="487"/>
      <c r="M103" s="478">
        <f t="shared" si="15"/>
        <v>0</v>
      </c>
      <c r="N103" s="487"/>
      <c r="O103" s="478">
        <f t="shared" si="11"/>
        <v>0</v>
      </c>
      <c r="P103" s="478">
        <f t="shared" si="12"/>
        <v>0</v>
      </c>
    </row>
    <row r="104" spans="1:16">
      <c r="B104" s="160" t="str">
        <f t="shared" si="16"/>
        <v/>
      </c>
      <c r="C104" s="472">
        <f>IF(D93="","-",+C103+1)</f>
        <v>2025</v>
      </c>
      <c r="D104" s="347">
        <f>IF(F103+SUM(E$99:E103)=D$92,F103,D$92-SUM(E$99:E103))</f>
        <v>2289569</v>
      </c>
      <c r="E104" s="484">
        <f t="shared" si="17"/>
        <v>61880</v>
      </c>
      <c r="F104" s="485">
        <f t="shared" si="18"/>
        <v>2227689</v>
      </c>
      <c r="G104" s="485">
        <f t="shared" si="19"/>
        <v>2258629</v>
      </c>
      <c r="H104" s="486">
        <f t="shared" si="20"/>
        <v>318895.70233186206</v>
      </c>
      <c r="I104" s="542">
        <f t="shared" si="21"/>
        <v>318895.70233186206</v>
      </c>
      <c r="J104" s="478">
        <f t="shared" si="14"/>
        <v>0</v>
      </c>
      <c r="K104" s="478"/>
      <c r="L104" s="487"/>
      <c r="M104" s="478">
        <f t="shared" si="15"/>
        <v>0</v>
      </c>
      <c r="N104" s="487"/>
      <c r="O104" s="478">
        <f t="shared" si="11"/>
        <v>0</v>
      </c>
      <c r="P104" s="478">
        <f t="shared" si="12"/>
        <v>0</v>
      </c>
    </row>
    <row r="105" spans="1:16">
      <c r="B105" s="160" t="str">
        <f t="shared" si="16"/>
        <v/>
      </c>
      <c r="C105" s="472">
        <f>IF(D93="","-",+C104+1)</f>
        <v>2026</v>
      </c>
      <c r="D105" s="347">
        <f>IF(F104+SUM(E$99:E104)=D$92,F104,D$92-SUM(E$99:E104))</f>
        <v>2227689</v>
      </c>
      <c r="E105" s="484">
        <f t="shared" si="17"/>
        <v>61880</v>
      </c>
      <c r="F105" s="485">
        <f t="shared" si="18"/>
        <v>2165809</v>
      </c>
      <c r="G105" s="485">
        <f t="shared" si="19"/>
        <v>2196749</v>
      </c>
      <c r="H105" s="486">
        <f t="shared" si="20"/>
        <v>311854.20429907506</v>
      </c>
      <c r="I105" s="542">
        <f t="shared" si="21"/>
        <v>311854.20429907506</v>
      </c>
      <c r="J105" s="478">
        <f t="shared" si="14"/>
        <v>0</v>
      </c>
      <c r="K105" s="478"/>
      <c r="L105" s="487"/>
      <c r="M105" s="478">
        <f t="shared" si="15"/>
        <v>0</v>
      </c>
      <c r="N105" s="487"/>
      <c r="O105" s="478">
        <f t="shared" si="11"/>
        <v>0</v>
      </c>
      <c r="P105" s="478">
        <f t="shared" si="12"/>
        <v>0</v>
      </c>
    </row>
    <row r="106" spans="1:16">
      <c r="B106" s="160" t="str">
        <f t="shared" si="16"/>
        <v/>
      </c>
      <c r="C106" s="472">
        <f>IF(D93="","-",+C105+1)</f>
        <v>2027</v>
      </c>
      <c r="D106" s="347">
        <f>IF(F105+SUM(E$99:E105)=D$92,F105,D$92-SUM(E$99:E105))</f>
        <v>2165809</v>
      </c>
      <c r="E106" s="484">
        <f t="shared" si="17"/>
        <v>61880</v>
      </c>
      <c r="F106" s="485">
        <f t="shared" si="18"/>
        <v>2103929</v>
      </c>
      <c r="G106" s="485">
        <f t="shared" si="19"/>
        <v>2134869</v>
      </c>
      <c r="H106" s="486">
        <f t="shared" si="20"/>
        <v>304812.70626628806</v>
      </c>
      <c r="I106" s="542">
        <f t="shared" si="21"/>
        <v>304812.70626628806</v>
      </c>
      <c r="J106" s="478">
        <f t="shared" si="14"/>
        <v>0</v>
      </c>
      <c r="K106" s="478"/>
      <c r="L106" s="487"/>
      <c r="M106" s="478">
        <f t="shared" si="15"/>
        <v>0</v>
      </c>
      <c r="N106" s="487"/>
      <c r="O106" s="478">
        <f t="shared" si="11"/>
        <v>0</v>
      </c>
      <c r="P106" s="478">
        <f t="shared" si="12"/>
        <v>0</v>
      </c>
    </row>
    <row r="107" spans="1:16">
      <c r="B107" s="160" t="str">
        <f t="shared" si="16"/>
        <v/>
      </c>
      <c r="C107" s="472">
        <f>IF(D93="","-",+C106+1)</f>
        <v>2028</v>
      </c>
      <c r="D107" s="347">
        <f>IF(F106+SUM(E$99:E106)=D$92,F106,D$92-SUM(E$99:E106))</f>
        <v>2103929</v>
      </c>
      <c r="E107" s="484">
        <f t="shared" si="17"/>
        <v>61880</v>
      </c>
      <c r="F107" s="485">
        <f t="shared" si="18"/>
        <v>2042049</v>
      </c>
      <c r="G107" s="485">
        <f t="shared" si="19"/>
        <v>2072989</v>
      </c>
      <c r="H107" s="486">
        <f t="shared" si="20"/>
        <v>297771.20823350112</v>
      </c>
      <c r="I107" s="542">
        <f t="shared" si="21"/>
        <v>297771.20823350112</v>
      </c>
      <c r="J107" s="478">
        <f t="shared" si="14"/>
        <v>0</v>
      </c>
      <c r="K107" s="478"/>
      <c r="L107" s="487"/>
      <c r="M107" s="478">
        <f t="shared" si="15"/>
        <v>0</v>
      </c>
      <c r="N107" s="487"/>
      <c r="O107" s="478">
        <f t="shared" si="11"/>
        <v>0</v>
      </c>
      <c r="P107" s="478">
        <f t="shared" si="12"/>
        <v>0</v>
      </c>
    </row>
    <row r="108" spans="1:16">
      <c r="B108" s="160" t="str">
        <f t="shared" si="16"/>
        <v/>
      </c>
      <c r="C108" s="472">
        <f>IF(D93="","-",+C107+1)</f>
        <v>2029</v>
      </c>
      <c r="D108" s="347">
        <f>IF(F107+SUM(E$99:E107)=D$92,F107,D$92-SUM(E$99:E107))</f>
        <v>2042049</v>
      </c>
      <c r="E108" s="484">
        <f t="shared" si="17"/>
        <v>61880</v>
      </c>
      <c r="F108" s="485">
        <f t="shared" si="18"/>
        <v>1980169</v>
      </c>
      <c r="G108" s="485">
        <f t="shared" si="19"/>
        <v>2011109</v>
      </c>
      <c r="H108" s="486">
        <f t="shared" si="20"/>
        <v>290729.71020071418</v>
      </c>
      <c r="I108" s="542">
        <f t="shared" si="21"/>
        <v>290729.71020071418</v>
      </c>
      <c r="J108" s="478">
        <f t="shared" si="14"/>
        <v>0</v>
      </c>
      <c r="K108" s="478"/>
      <c r="L108" s="487"/>
      <c r="M108" s="478">
        <f t="shared" si="15"/>
        <v>0</v>
      </c>
      <c r="N108" s="487"/>
      <c r="O108" s="478">
        <f t="shared" si="11"/>
        <v>0</v>
      </c>
      <c r="P108" s="478">
        <f t="shared" si="12"/>
        <v>0</v>
      </c>
    </row>
    <row r="109" spans="1:16">
      <c r="B109" s="160" t="str">
        <f t="shared" si="16"/>
        <v/>
      </c>
      <c r="C109" s="472">
        <f>IF(D93="","-",+C108+1)</f>
        <v>2030</v>
      </c>
      <c r="D109" s="347">
        <f>IF(F108+SUM(E$99:E108)=D$92,F108,D$92-SUM(E$99:E108))</f>
        <v>1980169</v>
      </c>
      <c r="E109" s="484">
        <f t="shared" si="17"/>
        <v>61880</v>
      </c>
      <c r="F109" s="485">
        <f t="shared" si="18"/>
        <v>1918289</v>
      </c>
      <c r="G109" s="485">
        <f t="shared" si="19"/>
        <v>1949229</v>
      </c>
      <c r="H109" s="486">
        <f t="shared" si="20"/>
        <v>283688.21216792718</v>
      </c>
      <c r="I109" s="542">
        <f t="shared" si="21"/>
        <v>283688.21216792718</v>
      </c>
      <c r="J109" s="478">
        <f t="shared" si="14"/>
        <v>0</v>
      </c>
      <c r="K109" s="478"/>
      <c r="L109" s="487"/>
      <c r="M109" s="478">
        <f t="shared" si="15"/>
        <v>0</v>
      </c>
      <c r="N109" s="487"/>
      <c r="O109" s="478">
        <f t="shared" si="11"/>
        <v>0</v>
      </c>
      <c r="P109" s="478">
        <f t="shared" si="12"/>
        <v>0</v>
      </c>
    </row>
    <row r="110" spans="1:16">
      <c r="B110" s="160" t="str">
        <f t="shared" si="16"/>
        <v/>
      </c>
      <c r="C110" s="472">
        <f>IF(D93="","-",+C109+1)</f>
        <v>2031</v>
      </c>
      <c r="D110" s="347">
        <f>IF(F109+SUM(E$99:E109)=D$92,F109,D$92-SUM(E$99:E109))</f>
        <v>1918289</v>
      </c>
      <c r="E110" s="484">
        <f t="shared" si="17"/>
        <v>61880</v>
      </c>
      <c r="F110" s="485">
        <f t="shared" si="18"/>
        <v>1856409</v>
      </c>
      <c r="G110" s="485">
        <f t="shared" si="19"/>
        <v>1887349</v>
      </c>
      <c r="H110" s="486">
        <f t="shared" si="20"/>
        <v>276646.71413514018</v>
      </c>
      <c r="I110" s="542">
        <f t="shared" si="21"/>
        <v>276646.71413514018</v>
      </c>
      <c r="J110" s="478">
        <f t="shared" si="14"/>
        <v>0</v>
      </c>
      <c r="K110" s="478"/>
      <c r="L110" s="487"/>
      <c r="M110" s="478">
        <f t="shared" si="15"/>
        <v>0</v>
      </c>
      <c r="N110" s="487"/>
      <c r="O110" s="478">
        <f t="shared" si="11"/>
        <v>0</v>
      </c>
      <c r="P110" s="478">
        <f t="shared" si="12"/>
        <v>0</v>
      </c>
    </row>
    <row r="111" spans="1:16">
      <c r="B111" s="160" t="str">
        <f t="shared" si="16"/>
        <v/>
      </c>
      <c r="C111" s="472">
        <f>IF(D93="","-",+C110+1)</f>
        <v>2032</v>
      </c>
      <c r="D111" s="347">
        <f>IF(F110+SUM(E$99:E110)=D$92,F110,D$92-SUM(E$99:E110))</f>
        <v>1856409</v>
      </c>
      <c r="E111" s="484">
        <f t="shared" si="17"/>
        <v>61880</v>
      </c>
      <c r="F111" s="485">
        <f t="shared" si="18"/>
        <v>1794529</v>
      </c>
      <c r="G111" s="485">
        <f t="shared" si="19"/>
        <v>1825469</v>
      </c>
      <c r="H111" s="486">
        <f t="shared" si="20"/>
        <v>269605.21610235318</v>
      </c>
      <c r="I111" s="542">
        <f t="shared" si="21"/>
        <v>269605.21610235318</v>
      </c>
      <c r="J111" s="478">
        <f t="shared" si="14"/>
        <v>0</v>
      </c>
      <c r="K111" s="478"/>
      <c r="L111" s="487"/>
      <c r="M111" s="478">
        <f t="shared" si="15"/>
        <v>0</v>
      </c>
      <c r="N111" s="487"/>
      <c r="O111" s="478">
        <f t="shared" si="11"/>
        <v>0</v>
      </c>
      <c r="P111" s="478">
        <f t="shared" si="12"/>
        <v>0</v>
      </c>
    </row>
    <row r="112" spans="1:16">
      <c r="B112" s="160" t="str">
        <f t="shared" si="16"/>
        <v/>
      </c>
      <c r="C112" s="472">
        <f>IF(D93="","-",+C111+1)</f>
        <v>2033</v>
      </c>
      <c r="D112" s="347">
        <f>IF(F111+SUM(E$99:E111)=D$92,F111,D$92-SUM(E$99:E111))</f>
        <v>1794529</v>
      </c>
      <c r="E112" s="484">
        <f t="shared" si="17"/>
        <v>61880</v>
      </c>
      <c r="F112" s="485">
        <f t="shared" si="18"/>
        <v>1732649</v>
      </c>
      <c r="G112" s="485">
        <f t="shared" si="19"/>
        <v>1763589</v>
      </c>
      <c r="H112" s="486">
        <f t="shared" si="20"/>
        <v>262563.71806956618</v>
      </c>
      <c r="I112" s="542">
        <f t="shared" si="21"/>
        <v>262563.71806956618</v>
      </c>
      <c r="J112" s="478">
        <f t="shared" si="14"/>
        <v>0</v>
      </c>
      <c r="K112" s="478"/>
      <c r="L112" s="487"/>
      <c r="M112" s="478">
        <f t="shared" si="15"/>
        <v>0</v>
      </c>
      <c r="N112" s="487"/>
      <c r="O112" s="478">
        <f t="shared" si="11"/>
        <v>0</v>
      </c>
      <c r="P112" s="478">
        <f t="shared" si="12"/>
        <v>0</v>
      </c>
    </row>
    <row r="113" spans="2:16">
      <c r="B113" s="160" t="str">
        <f t="shared" si="16"/>
        <v/>
      </c>
      <c r="C113" s="472">
        <f>IF(D93="","-",+C112+1)</f>
        <v>2034</v>
      </c>
      <c r="D113" s="347">
        <f>IF(F112+SUM(E$99:E112)=D$92,F112,D$92-SUM(E$99:E112))</f>
        <v>1732649</v>
      </c>
      <c r="E113" s="484">
        <f t="shared" si="17"/>
        <v>61880</v>
      </c>
      <c r="F113" s="485">
        <f t="shared" si="18"/>
        <v>1670769</v>
      </c>
      <c r="G113" s="485">
        <f t="shared" si="19"/>
        <v>1701709</v>
      </c>
      <c r="H113" s="486">
        <f t="shared" si="20"/>
        <v>255522.22003677924</v>
      </c>
      <c r="I113" s="542">
        <f t="shared" si="21"/>
        <v>255522.22003677924</v>
      </c>
      <c r="J113" s="478">
        <f t="shared" si="14"/>
        <v>0</v>
      </c>
      <c r="K113" s="478"/>
      <c r="L113" s="487"/>
      <c r="M113" s="478">
        <f t="shared" si="15"/>
        <v>0</v>
      </c>
      <c r="N113" s="487"/>
      <c r="O113" s="478">
        <f t="shared" si="11"/>
        <v>0</v>
      </c>
      <c r="P113" s="478">
        <f t="shared" si="12"/>
        <v>0</v>
      </c>
    </row>
    <row r="114" spans="2:16">
      <c r="B114" s="160" t="str">
        <f t="shared" si="16"/>
        <v/>
      </c>
      <c r="C114" s="472">
        <f>IF(D93="","-",+C113+1)</f>
        <v>2035</v>
      </c>
      <c r="D114" s="347">
        <f>IF(F113+SUM(E$99:E113)=D$92,F113,D$92-SUM(E$99:E113))</f>
        <v>1670769</v>
      </c>
      <c r="E114" s="484">
        <f t="shared" si="17"/>
        <v>61880</v>
      </c>
      <c r="F114" s="485">
        <f t="shared" si="18"/>
        <v>1608889</v>
      </c>
      <c r="G114" s="485">
        <f t="shared" si="19"/>
        <v>1639829</v>
      </c>
      <c r="H114" s="486">
        <f t="shared" si="20"/>
        <v>248480.72200399227</v>
      </c>
      <c r="I114" s="542">
        <f t="shared" si="21"/>
        <v>248480.72200399227</v>
      </c>
      <c r="J114" s="478">
        <f t="shared" si="14"/>
        <v>0</v>
      </c>
      <c r="K114" s="478"/>
      <c r="L114" s="487"/>
      <c r="M114" s="478">
        <f t="shared" si="15"/>
        <v>0</v>
      </c>
      <c r="N114" s="487"/>
      <c r="O114" s="478">
        <f t="shared" si="11"/>
        <v>0</v>
      </c>
      <c r="P114" s="478">
        <f t="shared" si="12"/>
        <v>0</v>
      </c>
    </row>
    <row r="115" spans="2:16">
      <c r="B115" s="160" t="str">
        <f t="shared" si="16"/>
        <v/>
      </c>
      <c r="C115" s="472">
        <f>IF(D93="","-",+C114+1)</f>
        <v>2036</v>
      </c>
      <c r="D115" s="347">
        <f>IF(F114+SUM(E$99:E114)=D$92,F114,D$92-SUM(E$99:E114))</f>
        <v>1608889</v>
      </c>
      <c r="E115" s="484">
        <f t="shared" si="17"/>
        <v>61880</v>
      </c>
      <c r="F115" s="485">
        <f t="shared" si="18"/>
        <v>1547009</v>
      </c>
      <c r="G115" s="485">
        <f t="shared" si="19"/>
        <v>1577949</v>
      </c>
      <c r="H115" s="486">
        <f t="shared" si="20"/>
        <v>241439.22397120527</v>
      </c>
      <c r="I115" s="542">
        <f t="shared" si="21"/>
        <v>241439.22397120527</v>
      </c>
      <c r="J115" s="478">
        <f t="shared" si="14"/>
        <v>0</v>
      </c>
      <c r="K115" s="478"/>
      <c r="L115" s="487"/>
      <c r="M115" s="478">
        <f t="shared" si="15"/>
        <v>0</v>
      </c>
      <c r="N115" s="487"/>
      <c r="O115" s="478">
        <f t="shared" si="11"/>
        <v>0</v>
      </c>
      <c r="P115" s="478">
        <f t="shared" si="12"/>
        <v>0</v>
      </c>
    </row>
    <row r="116" spans="2:16">
      <c r="B116" s="160" t="str">
        <f t="shared" si="16"/>
        <v/>
      </c>
      <c r="C116" s="472">
        <f>IF(D93="","-",+C115+1)</f>
        <v>2037</v>
      </c>
      <c r="D116" s="347">
        <f>IF(F115+SUM(E$99:E115)=D$92,F115,D$92-SUM(E$99:E115))</f>
        <v>1547009</v>
      </c>
      <c r="E116" s="484">
        <f t="shared" si="17"/>
        <v>61880</v>
      </c>
      <c r="F116" s="485">
        <f t="shared" si="18"/>
        <v>1485129</v>
      </c>
      <c r="G116" s="485">
        <f t="shared" si="19"/>
        <v>1516069</v>
      </c>
      <c r="H116" s="486">
        <f t="shared" si="20"/>
        <v>234397.7259384183</v>
      </c>
      <c r="I116" s="542">
        <f t="shared" si="21"/>
        <v>234397.7259384183</v>
      </c>
      <c r="J116" s="478">
        <f t="shared" si="14"/>
        <v>0</v>
      </c>
      <c r="K116" s="478"/>
      <c r="L116" s="487"/>
      <c r="M116" s="478">
        <f t="shared" si="15"/>
        <v>0</v>
      </c>
      <c r="N116" s="487"/>
      <c r="O116" s="478">
        <f t="shared" si="11"/>
        <v>0</v>
      </c>
      <c r="P116" s="478">
        <f t="shared" si="12"/>
        <v>0</v>
      </c>
    </row>
    <row r="117" spans="2:16">
      <c r="B117" s="160" t="str">
        <f t="shared" si="16"/>
        <v/>
      </c>
      <c r="C117" s="472">
        <f>IF(D93="","-",+C116+1)</f>
        <v>2038</v>
      </c>
      <c r="D117" s="347">
        <f>IF(F116+SUM(E$99:E116)=D$92,F116,D$92-SUM(E$99:E116))</f>
        <v>1485129</v>
      </c>
      <c r="E117" s="484">
        <f t="shared" si="17"/>
        <v>61880</v>
      </c>
      <c r="F117" s="485">
        <f t="shared" si="18"/>
        <v>1423249</v>
      </c>
      <c r="G117" s="485">
        <f t="shared" si="19"/>
        <v>1454189</v>
      </c>
      <c r="H117" s="486">
        <f t="shared" si="20"/>
        <v>227356.22790563133</v>
      </c>
      <c r="I117" s="542">
        <f t="shared" si="21"/>
        <v>227356.22790563133</v>
      </c>
      <c r="J117" s="478">
        <f t="shared" si="14"/>
        <v>0</v>
      </c>
      <c r="K117" s="478"/>
      <c r="L117" s="487"/>
      <c r="M117" s="478">
        <f t="shared" si="15"/>
        <v>0</v>
      </c>
      <c r="N117" s="487"/>
      <c r="O117" s="478">
        <f t="shared" si="11"/>
        <v>0</v>
      </c>
      <c r="P117" s="478">
        <f t="shared" si="12"/>
        <v>0</v>
      </c>
    </row>
    <row r="118" spans="2:16">
      <c r="B118" s="160" t="str">
        <f t="shared" si="16"/>
        <v/>
      </c>
      <c r="C118" s="472">
        <f>IF(D93="","-",+C117+1)</f>
        <v>2039</v>
      </c>
      <c r="D118" s="347">
        <f>IF(F117+SUM(E$99:E117)=D$92,F117,D$92-SUM(E$99:E117))</f>
        <v>1423249</v>
      </c>
      <c r="E118" s="484">
        <f t="shared" si="17"/>
        <v>61880</v>
      </c>
      <c r="F118" s="485">
        <f t="shared" si="18"/>
        <v>1361369</v>
      </c>
      <c r="G118" s="485">
        <f t="shared" si="19"/>
        <v>1392309</v>
      </c>
      <c r="H118" s="486">
        <f t="shared" si="20"/>
        <v>220314.72987284433</v>
      </c>
      <c r="I118" s="542">
        <f t="shared" si="21"/>
        <v>220314.72987284433</v>
      </c>
      <c r="J118" s="478">
        <f t="shared" si="14"/>
        <v>0</v>
      </c>
      <c r="K118" s="478"/>
      <c r="L118" s="487"/>
      <c r="M118" s="478">
        <f t="shared" si="15"/>
        <v>0</v>
      </c>
      <c r="N118" s="487"/>
      <c r="O118" s="478">
        <f t="shared" si="11"/>
        <v>0</v>
      </c>
      <c r="P118" s="478">
        <f t="shared" si="12"/>
        <v>0</v>
      </c>
    </row>
    <row r="119" spans="2:16">
      <c r="B119" s="160" t="str">
        <f t="shared" si="16"/>
        <v/>
      </c>
      <c r="C119" s="472">
        <f>IF(D93="","-",+C118+1)</f>
        <v>2040</v>
      </c>
      <c r="D119" s="347">
        <f>IF(F118+SUM(E$99:E118)=D$92,F118,D$92-SUM(E$99:E118))</f>
        <v>1361369</v>
      </c>
      <c r="E119" s="484">
        <f t="shared" si="17"/>
        <v>61880</v>
      </c>
      <c r="F119" s="485">
        <f t="shared" si="18"/>
        <v>1299489</v>
      </c>
      <c r="G119" s="485">
        <f t="shared" si="19"/>
        <v>1330429</v>
      </c>
      <c r="H119" s="486">
        <f t="shared" si="20"/>
        <v>213273.23184005736</v>
      </c>
      <c r="I119" s="542">
        <f t="shared" si="21"/>
        <v>213273.23184005736</v>
      </c>
      <c r="J119" s="478">
        <f t="shared" si="14"/>
        <v>0</v>
      </c>
      <c r="K119" s="478"/>
      <c r="L119" s="487"/>
      <c r="M119" s="478">
        <f t="shared" si="15"/>
        <v>0</v>
      </c>
      <c r="N119" s="487"/>
      <c r="O119" s="478">
        <f t="shared" si="11"/>
        <v>0</v>
      </c>
      <c r="P119" s="478">
        <f t="shared" si="12"/>
        <v>0</v>
      </c>
    </row>
    <row r="120" spans="2:16">
      <c r="B120" s="160" t="str">
        <f t="shared" si="16"/>
        <v/>
      </c>
      <c r="C120" s="472">
        <f>IF(D93="","-",+C119+1)</f>
        <v>2041</v>
      </c>
      <c r="D120" s="347">
        <f>IF(F119+SUM(E$99:E119)=D$92,F119,D$92-SUM(E$99:E119))</f>
        <v>1299489</v>
      </c>
      <c r="E120" s="484">
        <f t="shared" si="17"/>
        <v>61880</v>
      </c>
      <c r="F120" s="485">
        <f t="shared" si="18"/>
        <v>1237609</v>
      </c>
      <c r="G120" s="485">
        <f t="shared" si="19"/>
        <v>1268549</v>
      </c>
      <c r="H120" s="486">
        <f t="shared" si="20"/>
        <v>206231.73380727039</v>
      </c>
      <c r="I120" s="542">
        <f t="shared" si="21"/>
        <v>206231.73380727039</v>
      </c>
      <c r="J120" s="478">
        <f t="shared" si="14"/>
        <v>0</v>
      </c>
      <c r="K120" s="478"/>
      <c r="L120" s="487"/>
      <c r="M120" s="478">
        <f t="shared" si="15"/>
        <v>0</v>
      </c>
      <c r="N120" s="487"/>
      <c r="O120" s="478">
        <f t="shared" si="11"/>
        <v>0</v>
      </c>
      <c r="P120" s="478">
        <f t="shared" si="12"/>
        <v>0</v>
      </c>
    </row>
    <row r="121" spans="2:16">
      <c r="B121" s="160" t="str">
        <f t="shared" si="16"/>
        <v/>
      </c>
      <c r="C121" s="472">
        <f>IF(D93="","-",+C120+1)</f>
        <v>2042</v>
      </c>
      <c r="D121" s="347">
        <f>IF(F120+SUM(E$99:E120)=D$92,F120,D$92-SUM(E$99:E120))</f>
        <v>1237609</v>
      </c>
      <c r="E121" s="484">
        <f t="shared" si="17"/>
        <v>61880</v>
      </c>
      <c r="F121" s="485">
        <f t="shared" si="18"/>
        <v>1175729</v>
      </c>
      <c r="G121" s="485">
        <f t="shared" si="19"/>
        <v>1206669</v>
      </c>
      <c r="H121" s="486">
        <f t="shared" si="20"/>
        <v>199190.23577448339</v>
      </c>
      <c r="I121" s="542">
        <f t="shared" si="21"/>
        <v>199190.23577448339</v>
      </c>
      <c r="J121" s="478">
        <f t="shared" si="14"/>
        <v>0</v>
      </c>
      <c r="K121" s="478"/>
      <c r="L121" s="487"/>
      <c r="M121" s="478">
        <f t="shared" si="15"/>
        <v>0</v>
      </c>
      <c r="N121" s="487"/>
      <c r="O121" s="478">
        <f t="shared" si="11"/>
        <v>0</v>
      </c>
      <c r="P121" s="478">
        <f t="shared" si="12"/>
        <v>0</v>
      </c>
    </row>
    <row r="122" spans="2:16">
      <c r="B122" s="160" t="str">
        <f t="shared" si="16"/>
        <v/>
      </c>
      <c r="C122" s="472">
        <f>IF(D93="","-",+C121+1)</f>
        <v>2043</v>
      </c>
      <c r="D122" s="347">
        <f>IF(F121+SUM(E$99:E121)=D$92,F121,D$92-SUM(E$99:E121))</f>
        <v>1175729</v>
      </c>
      <c r="E122" s="484">
        <f t="shared" si="17"/>
        <v>61880</v>
      </c>
      <c r="F122" s="485">
        <f t="shared" si="18"/>
        <v>1113849</v>
      </c>
      <c r="G122" s="485">
        <f t="shared" si="19"/>
        <v>1144789</v>
      </c>
      <c r="H122" s="486">
        <f t="shared" si="20"/>
        <v>192148.73774169642</v>
      </c>
      <c r="I122" s="542">
        <f t="shared" si="21"/>
        <v>192148.73774169642</v>
      </c>
      <c r="J122" s="478">
        <f t="shared" si="14"/>
        <v>0</v>
      </c>
      <c r="K122" s="478"/>
      <c r="L122" s="487"/>
      <c r="M122" s="478">
        <f t="shared" si="15"/>
        <v>0</v>
      </c>
      <c r="N122" s="487"/>
      <c r="O122" s="478">
        <f t="shared" si="11"/>
        <v>0</v>
      </c>
      <c r="P122" s="478">
        <f t="shared" si="12"/>
        <v>0</v>
      </c>
    </row>
    <row r="123" spans="2:16">
      <c r="B123" s="160" t="str">
        <f t="shared" si="16"/>
        <v/>
      </c>
      <c r="C123" s="472">
        <f>IF(D93="","-",+C122+1)</f>
        <v>2044</v>
      </c>
      <c r="D123" s="347">
        <f>IF(F122+SUM(E$99:E122)=D$92,F122,D$92-SUM(E$99:E122))</f>
        <v>1113849</v>
      </c>
      <c r="E123" s="484">
        <f t="shared" si="17"/>
        <v>61880</v>
      </c>
      <c r="F123" s="485">
        <f t="shared" si="18"/>
        <v>1051969</v>
      </c>
      <c r="G123" s="485">
        <f t="shared" si="19"/>
        <v>1082909</v>
      </c>
      <c r="H123" s="486">
        <f t="shared" si="20"/>
        <v>185107.23970890944</v>
      </c>
      <c r="I123" s="542">
        <f t="shared" si="21"/>
        <v>185107.23970890944</v>
      </c>
      <c r="J123" s="478">
        <f t="shared" si="14"/>
        <v>0</v>
      </c>
      <c r="K123" s="478"/>
      <c r="L123" s="487"/>
      <c r="M123" s="478">
        <f t="shared" si="15"/>
        <v>0</v>
      </c>
      <c r="N123" s="487"/>
      <c r="O123" s="478">
        <f t="shared" si="11"/>
        <v>0</v>
      </c>
      <c r="P123" s="478">
        <f t="shared" si="12"/>
        <v>0</v>
      </c>
    </row>
    <row r="124" spans="2:16">
      <c r="B124" s="160" t="str">
        <f t="shared" si="16"/>
        <v/>
      </c>
      <c r="C124" s="472">
        <f>IF(D93="","-",+C123+1)</f>
        <v>2045</v>
      </c>
      <c r="D124" s="347">
        <f>IF(F123+SUM(E$99:E123)=D$92,F123,D$92-SUM(E$99:E123))</f>
        <v>1051969</v>
      </c>
      <c r="E124" s="484">
        <f t="shared" si="17"/>
        <v>61880</v>
      </c>
      <c r="F124" s="485">
        <f t="shared" si="18"/>
        <v>990089</v>
      </c>
      <c r="G124" s="485">
        <f t="shared" si="19"/>
        <v>1021029</v>
      </c>
      <c r="H124" s="486">
        <f t="shared" si="20"/>
        <v>178065.74167612247</v>
      </c>
      <c r="I124" s="542">
        <f t="shared" si="21"/>
        <v>178065.74167612247</v>
      </c>
      <c r="J124" s="478">
        <f t="shared" si="14"/>
        <v>0</v>
      </c>
      <c r="K124" s="478"/>
      <c r="L124" s="487"/>
      <c r="M124" s="478">
        <f t="shared" si="15"/>
        <v>0</v>
      </c>
      <c r="N124" s="487"/>
      <c r="O124" s="478">
        <f t="shared" si="11"/>
        <v>0</v>
      </c>
      <c r="P124" s="478">
        <f t="shared" si="12"/>
        <v>0</v>
      </c>
    </row>
    <row r="125" spans="2:16">
      <c r="B125" s="160" t="str">
        <f t="shared" si="16"/>
        <v/>
      </c>
      <c r="C125" s="472">
        <f>IF(D93="","-",+C124+1)</f>
        <v>2046</v>
      </c>
      <c r="D125" s="347">
        <f>IF(F124+SUM(E$99:E124)=D$92,F124,D$92-SUM(E$99:E124))</f>
        <v>990089</v>
      </c>
      <c r="E125" s="484">
        <f t="shared" si="17"/>
        <v>61880</v>
      </c>
      <c r="F125" s="485">
        <f t="shared" si="18"/>
        <v>928209</v>
      </c>
      <c r="G125" s="485">
        <f t="shared" si="19"/>
        <v>959149</v>
      </c>
      <c r="H125" s="486">
        <f t="shared" si="20"/>
        <v>171024.24364333547</v>
      </c>
      <c r="I125" s="542">
        <f t="shared" si="21"/>
        <v>171024.24364333547</v>
      </c>
      <c r="J125" s="478">
        <f t="shared" si="14"/>
        <v>0</v>
      </c>
      <c r="K125" s="478"/>
      <c r="L125" s="487"/>
      <c r="M125" s="478">
        <f t="shared" si="15"/>
        <v>0</v>
      </c>
      <c r="N125" s="487"/>
      <c r="O125" s="478">
        <f t="shared" si="11"/>
        <v>0</v>
      </c>
      <c r="P125" s="478">
        <f t="shared" si="12"/>
        <v>0</v>
      </c>
    </row>
    <row r="126" spans="2:16">
      <c r="B126" s="160" t="str">
        <f t="shared" si="16"/>
        <v/>
      </c>
      <c r="C126" s="472">
        <f>IF(D93="","-",+C125+1)</f>
        <v>2047</v>
      </c>
      <c r="D126" s="347">
        <f>IF(F125+SUM(E$99:E125)=D$92,F125,D$92-SUM(E$99:E125))</f>
        <v>928209</v>
      </c>
      <c r="E126" s="484">
        <f t="shared" si="17"/>
        <v>61880</v>
      </c>
      <c r="F126" s="485">
        <f t="shared" si="18"/>
        <v>866329</v>
      </c>
      <c r="G126" s="485">
        <f t="shared" si="19"/>
        <v>897269</v>
      </c>
      <c r="H126" s="486">
        <f t="shared" si="20"/>
        <v>163982.7456105485</v>
      </c>
      <c r="I126" s="542">
        <f t="shared" si="21"/>
        <v>163982.7456105485</v>
      </c>
      <c r="J126" s="478">
        <f t="shared" si="14"/>
        <v>0</v>
      </c>
      <c r="K126" s="478"/>
      <c r="L126" s="487"/>
      <c r="M126" s="478">
        <f t="shared" si="15"/>
        <v>0</v>
      </c>
      <c r="N126" s="487"/>
      <c r="O126" s="478">
        <f t="shared" si="11"/>
        <v>0</v>
      </c>
      <c r="P126" s="478">
        <f t="shared" si="12"/>
        <v>0</v>
      </c>
    </row>
    <row r="127" spans="2:16">
      <c r="B127" s="160" t="str">
        <f t="shared" si="16"/>
        <v/>
      </c>
      <c r="C127" s="472">
        <f>IF(D93="","-",+C126+1)</f>
        <v>2048</v>
      </c>
      <c r="D127" s="347">
        <f>IF(F126+SUM(E$99:E126)=D$92,F126,D$92-SUM(E$99:E126))</f>
        <v>866329</v>
      </c>
      <c r="E127" s="484">
        <f t="shared" si="17"/>
        <v>61880</v>
      </c>
      <c r="F127" s="485">
        <f t="shared" si="18"/>
        <v>804449</v>
      </c>
      <c r="G127" s="485">
        <f t="shared" si="19"/>
        <v>835389</v>
      </c>
      <c r="H127" s="486">
        <f t="shared" si="20"/>
        <v>156941.24757776153</v>
      </c>
      <c r="I127" s="542">
        <f t="shared" si="21"/>
        <v>156941.24757776153</v>
      </c>
      <c r="J127" s="478">
        <f t="shared" si="14"/>
        <v>0</v>
      </c>
      <c r="K127" s="478"/>
      <c r="L127" s="487"/>
      <c r="M127" s="478">
        <f t="shared" si="15"/>
        <v>0</v>
      </c>
      <c r="N127" s="487"/>
      <c r="O127" s="478">
        <f t="shared" si="11"/>
        <v>0</v>
      </c>
      <c r="P127" s="478">
        <f t="shared" si="12"/>
        <v>0</v>
      </c>
    </row>
    <row r="128" spans="2:16">
      <c r="B128" s="160" t="str">
        <f t="shared" si="16"/>
        <v/>
      </c>
      <c r="C128" s="472">
        <f>IF(D93="","-",+C127+1)</f>
        <v>2049</v>
      </c>
      <c r="D128" s="347">
        <f>IF(F127+SUM(E$99:E127)=D$92,F127,D$92-SUM(E$99:E127))</f>
        <v>804449</v>
      </c>
      <c r="E128" s="484">
        <f t="shared" si="17"/>
        <v>61880</v>
      </c>
      <c r="F128" s="485">
        <f t="shared" si="18"/>
        <v>742569</v>
      </c>
      <c r="G128" s="485">
        <f t="shared" si="19"/>
        <v>773509</v>
      </c>
      <c r="H128" s="486">
        <f t="shared" si="20"/>
        <v>149899.74954497453</v>
      </c>
      <c r="I128" s="542">
        <f t="shared" si="21"/>
        <v>149899.74954497453</v>
      </c>
      <c r="J128" s="478">
        <f t="shared" si="14"/>
        <v>0</v>
      </c>
      <c r="K128" s="478"/>
      <c r="L128" s="487"/>
      <c r="M128" s="478">
        <f t="shared" si="15"/>
        <v>0</v>
      </c>
      <c r="N128" s="487"/>
      <c r="O128" s="478">
        <f t="shared" si="11"/>
        <v>0</v>
      </c>
      <c r="P128" s="478">
        <f t="shared" si="12"/>
        <v>0</v>
      </c>
    </row>
    <row r="129" spans="2:16">
      <c r="B129" s="160" t="str">
        <f t="shared" si="16"/>
        <v/>
      </c>
      <c r="C129" s="472">
        <f>IF(D93="","-",+C128+1)</f>
        <v>2050</v>
      </c>
      <c r="D129" s="347">
        <f>IF(F128+SUM(E$99:E128)=D$92,F128,D$92-SUM(E$99:E128))</f>
        <v>742569</v>
      </c>
      <c r="E129" s="484">
        <f t="shared" si="17"/>
        <v>61880</v>
      </c>
      <c r="F129" s="485">
        <f t="shared" si="18"/>
        <v>680689</v>
      </c>
      <c r="G129" s="485">
        <f t="shared" si="19"/>
        <v>711629</v>
      </c>
      <c r="H129" s="486">
        <f t="shared" si="20"/>
        <v>142858.25151218756</v>
      </c>
      <c r="I129" s="542">
        <f t="shared" si="21"/>
        <v>142858.25151218756</v>
      </c>
      <c r="J129" s="478">
        <f t="shared" si="14"/>
        <v>0</v>
      </c>
      <c r="K129" s="478"/>
      <c r="L129" s="487"/>
      <c r="M129" s="478">
        <f t="shared" si="15"/>
        <v>0</v>
      </c>
      <c r="N129" s="487"/>
      <c r="O129" s="478">
        <f t="shared" si="11"/>
        <v>0</v>
      </c>
      <c r="P129" s="478">
        <f t="shared" si="12"/>
        <v>0</v>
      </c>
    </row>
    <row r="130" spans="2:16">
      <c r="B130" s="160" t="str">
        <f t="shared" si="16"/>
        <v/>
      </c>
      <c r="C130" s="472">
        <f>IF(D93="","-",+C129+1)</f>
        <v>2051</v>
      </c>
      <c r="D130" s="347">
        <f>IF(F129+SUM(E$99:E129)=D$92,F129,D$92-SUM(E$99:E129))</f>
        <v>680689</v>
      </c>
      <c r="E130" s="484">
        <f t="shared" si="17"/>
        <v>61880</v>
      </c>
      <c r="F130" s="485">
        <f t="shared" si="18"/>
        <v>618809</v>
      </c>
      <c r="G130" s="485">
        <f t="shared" si="19"/>
        <v>649749</v>
      </c>
      <c r="H130" s="486">
        <f t="shared" si="20"/>
        <v>135816.75347940059</v>
      </c>
      <c r="I130" s="542">
        <f t="shared" si="21"/>
        <v>135816.75347940059</v>
      </c>
      <c r="J130" s="478">
        <f t="shared" si="14"/>
        <v>0</v>
      </c>
      <c r="K130" s="478"/>
      <c r="L130" s="487"/>
      <c r="M130" s="478">
        <f t="shared" si="15"/>
        <v>0</v>
      </c>
      <c r="N130" s="487"/>
      <c r="O130" s="478">
        <f t="shared" si="11"/>
        <v>0</v>
      </c>
      <c r="P130" s="478">
        <f t="shared" si="12"/>
        <v>0</v>
      </c>
    </row>
    <row r="131" spans="2:16">
      <c r="B131" s="160" t="str">
        <f t="shared" si="16"/>
        <v/>
      </c>
      <c r="C131" s="472">
        <f>IF(D93="","-",+C130+1)</f>
        <v>2052</v>
      </c>
      <c r="D131" s="347">
        <f>IF(F130+SUM(E$99:E130)=D$92,F130,D$92-SUM(E$99:E130))</f>
        <v>618809</v>
      </c>
      <c r="E131" s="484">
        <f t="shared" si="17"/>
        <v>61880</v>
      </c>
      <c r="F131" s="485">
        <f t="shared" si="18"/>
        <v>556929</v>
      </c>
      <c r="G131" s="485">
        <f t="shared" si="19"/>
        <v>587869</v>
      </c>
      <c r="H131" s="486">
        <f t="shared" si="20"/>
        <v>128775.25544661359</v>
      </c>
      <c r="I131" s="542">
        <f t="shared" si="21"/>
        <v>128775.25544661359</v>
      </c>
      <c r="J131" s="478">
        <f t="shared" ref="J131:J154" si="22">+I541-H541</f>
        <v>0</v>
      </c>
      <c r="K131" s="478"/>
      <c r="L131" s="487"/>
      <c r="M131" s="478">
        <f t="shared" ref="M131:M154" si="23">IF(L541&lt;&gt;0,+H541-L541,0)</f>
        <v>0</v>
      </c>
      <c r="N131" s="487"/>
      <c r="O131" s="478">
        <f t="shared" ref="O131:O154" si="24">IF(N541&lt;&gt;0,+I541-N541,0)</f>
        <v>0</v>
      </c>
      <c r="P131" s="478">
        <f t="shared" ref="P131:P154" si="25">+O541-M541</f>
        <v>0</v>
      </c>
    </row>
    <row r="132" spans="2:16">
      <c r="B132" s="160" t="str">
        <f t="shared" si="16"/>
        <v/>
      </c>
      <c r="C132" s="472">
        <f>IF(D93="","-",+C131+1)</f>
        <v>2053</v>
      </c>
      <c r="D132" s="347">
        <f>IF(F131+SUM(E$99:E131)=D$92,F131,D$92-SUM(E$99:E131))</f>
        <v>556929</v>
      </c>
      <c r="E132" s="484">
        <f t="shared" si="17"/>
        <v>61880</v>
      </c>
      <c r="F132" s="485">
        <f t="shared" si="18"/>
        <v>495049</v>
      </c>
      <c r="G132" s="485">
        <f t="shared" si="19"/>
        <v>525989</v>
      </c>
      <c r="H132" s="486">
        <f t="shared" si="20"/>
        <v>121733.75741382662</v>
      </c>
      <c r="I132" s="542">
        <f t="shared" si="21"/>
        <v>121733.75741382662</v>
      </c>
      <c r="J132" s="478">
        <f t="shared" si="22"/>
        <v>0</v>
      </c>
      <c r="K132" s="478"/>
      <c r="L132" s="487"/>
      <c r="M132" s="478">
        <f t="shared" si="23"/>
        <v>0</v>
      </c>
      <c r="N132" s="487"/>
      <c r="O132" s="478">
        <f t="shared" si="24"/>
        <v>0</v>
      </c>
      <c r="P132" s="478">
        <f t="shared" si="25"/>
        <v>0</v>
      </c>
    </row>
    <row r="133" spans="2:16">
      <c r="B133" s="160" t="str">
        <f t="shared" si="16"/>
        <v/>
      </c>
      <c r="C133" s="472">
        <f>IF(D93="","-",+C132+1)</f>
        <v>2054</v>
      </c>
      <c r="D133" s="347">
        <f>IF(F132+SUM(E$99:E132)=D$92,F132,D$92-SUM(E$99:E132))</f>
        <v>495049</v>
      </c>
      <c r="E133" s="484">
        <f t="shared" si="17"/>
        <v>61880</v>
      </c>
      <c r="F133" s="485">
        <f t="shared" si="18"/>
        <v>433169</v>
      </c>
      <c r="G133" s="485">
        <f t="shared" si="19"/>
        <v>464109</v>
      </c>
      <c r="H133" s="486">
        <f t="shared" si="20"/>
        <v>114692.25938103964</v>
      </c>
      <c r="I133" s="542">
        <f t="shared" si="21"/>
        <v>114692.25938103964</v>
      </c>
      <c r="J133" s="478">
        <f t="shared" si="22"/>
        <v>0</v>
      </c>
      <c r="K133" s="478"/>
      <c r="L133" s="487"/>
      <c r="M133" s="478">
        <f t="shared" si="23"/>
        <v>0</v>
      </c>
      <c r="N133" s="487"/>
      <c r="O133" s="478">
        <f t="shared" si="24"/>
        <v>0</v>
      </c>
      <c r="P133" s="478">
        <f t="shared" si="25"/>
        <v>0</v>
      </c>
    </row>
    <row r="134" spans="2:16">
      <c r="B134" s="160" t="str">
        <f t="shared" si="16"/>
        <v/>
      </c>
      <c r="C134" s="472">
        <f>IF(D93="","-",+C133+1)</f>
        <v>2055</v>
      </c>
      <c r="D134" s="347">
        <f>IF(F133+SUM(E$99:E133)=D$92,F133,D$92-SUM(E$99:E133))</f>
        <v>433169</v>
      </c>
      <c r="E134" s="484">
        <f t="shared" si="17"/>
        <v>61880</v>
      </c>
      <c r="F134" s="485">
        <f t="shared" si="18"/>
        <v>371289</v>
      </c>
      <c r="G134" s="485">
        <f t="shared" si="19"/>
        <v>402229</v>
      </c>
      <c r="H134" s="486">
        <f t="shared" si="20"/>
        <v>107650.76134825265</v>
      </c>
      <c r="I134" s="542">
        <f t="shared" si="21"/>
        <v>107650.76134825265</v>
      </c>
      <c r="J134" s="478">
        <f t="shared" si="22"/>
        <v>0</v>
      </c>
      <c r="K134" s="478"/>
      <c r="L134" s="487"/>
      <c r="M134" s="478">
        <f t="shared" si="23"/>
        <v>0</v>
      </c>
      <c r="N134" s="487"/>
      <c r="O134" s="478">
        <f t="shared" si="24"/>
        <v>0</v>
      </c>
      <c r="P134" s="478">
        <f t="shared" si="25"/>
        <v>0</v>
      </c>
    </row>
    <row r="135" spans="2:16">
      <c r="B135" s="160" t="str">
        <f t="shared" si="16"/>
        <v/>
      </c>
      <c r="C135" s="472">
        <f>IF(D93="","-",+C134+1)</f>
        <v>2056</v>
      </c>
      <c r="D135" s="347">
        <f>IF(F134+SUM(E$99:E134)=D$92,F134,D$92-SUM(E$99:E134))</f>
        <v>371289</v>
      </c>
      <c r="E135" s="484">
        <f t="shared" si="17"/>
        <v>61880</v>
      </c>
      <c r="F135" s="485">
        <f t="shared" si="18"/>
        <v>309409</v>
      </c>
      <c r="G135" s="485">
        <f t="shared" si="19"/>
        <v>340349</v>
      </c>
      <c r="H135" s="486">
        <f t="shared" si="20"/>
        <v>100609.26331546568</v>
      </c>
      <c r="I135" s="542">
        <f t="shared" si="21"/>
        <v>100609.26331546568</v>
      </c>
      <c r="J135" s="478">
        <f t="shared" si="22"/>
        <v>0</v>
      </c>
      <c r="K135" s="478"/>
      <c r="L135" s="487"/>
      <c r="M135" s="478">
        <f t="shared" si="23"/>
        <v>0</v>
      </c>
      <c r="N135" s="487"/>
      <c r="O135" s="478">
        <f t="shared" si="24"/>
        <v>0</v>
      </c>
      <c r="P135" s="478">
        <f t="shared" si="25"/>
        <v>0</v>
      </c>
    </row>
    <row r="136" spans="2:16">
      <c r="B136" s="160" t="str">
        <f t="shared" si="16"/>
        <v/>
      </c>
      <c r="C136" s="472">
        <f>IF(D93="","-",+C135+1)</f>
        <v>2057</v>
      </c>
      <c r="D136" s="347">
        <f>IF(F135+SUM(E$99:E135)=D$92,F135,D$92-SUM(E$99:E135))</f>
        <v>309409</v>
      </c>
      <c r="E136" s="484">
        <f t="shared" si="17"/>
        <v>61880</v>
      </c>
      <c r="F136" s="485">
        <f t="shared" si="18"/>
        <v>247529</v>
      </c>
      <c r="G136" s="485">
        <f t="shared" si="19"/>
        <v>278469</v>
      </c>
      <c r="H136" s="486">
        <f t="shared" si="20"/>
        <v>93567.765282678694</v>
      </c>
      <c r="I136" s="542">
        <f t="shared" si="21"/>
        <v>93567.765282678694</v>
      </c>
      <c r="J136" s="478">
        <f t="shared" si="22"/>
        <v>0</v>
      </c>
      <c r="K136" s="478"/>
      <c r="L136" s="487"/>
      <c r="M136" s="478">
        <f t="shared" si="23"/>
        <v>0</v>
      </c>
      <c r="N136" s="487"/>
      <c r="O136" s="478">
        <f t="shared" si="24"/>
        <v>0</v>
      </c>
      <c r="P136" s="478">
        <f t="shared" si="25"/>
        <v>0</v>
      </c>
    </row>
    <row r="137" spans="2:16">
      <c r="B137" s="160" t="str">
        <f t="shared" si="16"/>
        <v/>
      </c>
      <c r="C137" s="472">
        <f>IF(D93="","-",+C136+1)</f>
        <v>2058</v>
      </c>
      <c r="D137" s="347">
        <f>IF(F136+SUM(E$99:E136)=D$92,F136,D$92-SUM(E$99:E136))</f>
        <v>247529</v>
      </c>
      <c r="E137" s="484">
        <f t="shared" si="17"/>
        <v>61880</v>
      </c>
      <c r="F137" s="485">
        <f t="shared" si="18"/>
        <v>185649</v>
      </c>
      <c r="G137" s="485">
        <f t="shared" si="19"/>
        <v>216589</v>
      </c>
      <c r="H137" s="486">
        <f t="shared" si="20"/>
        <v>86526.267249891709</v>
      </c>
      <c r="I137" s="542">
        <f t="shared" si="21"/>
        <v>86526.267249891709</v>
      </c>
      <c r="J137" s="478">
        <f t="shared" si="22"/>
        <v>0</v>
      </c>
      <c r="K137" s="478"/>
      <c r="L137" s="487"/>
      <c r="M137" s="478">
        <f t="shared" si="23"/>
        <v>0</v>
      </c>
      <c r="N137" s="487"/>
      <c r="O137" s="478">
        <f t="shared" si="24"/>
        <v>0</v>
      </c>
      <c r="P137" s="478">
        <f t="shared" si="25"/>
        <v>0</v>
      </c>
    </row>
    <row r="138" spans="2:16">
      <c r="B138" s="160" t="str">
        <f t="shared" si="16"/>
        <v/>
      </c>
      <c r="C138" s="472">
        <f>IF(D93="","-",+C137+1)</f>
        <v>2059</v>
      </c>
      <c r="D138" s="347">
        <f>IF(F137+SUM(E$99:E137)=D$92,F137,D$92-SUM(E$99:E137))</f>
        <v>185649</v>
      </c>
      <c r="E138" s="484">
        <f t="shared" si="17"/>
        <v>61880</v>
      </c>
      <c r="F138" s="485">
        <f t="shared" si="18"/>
        <v>123769</v>
      </c>
      <c r="G138" s="485">
        <f t="shared" si="19"/>
        <v>154709</v>
      </c>
      <c r="H138" s="486">
        <f t="shared" si="20"/>
        <v>79484.769217104738</v>
      </c>
      <c r="I138" s="542">
        <f t="shared" si="21"/>
        <v>79484.769217104738</v>
      </c>
      <c r="J138" s="478">
        <f t="shared" si="22"/>
        <v>0</v>
      </c>
      <c r="K138" s="478"/>
      <c r="L138" s="487"/>
      <c r="M138" s="478">
        <f t="shared" si="23"/>
        <v>0</v>
      </c>
      <c r="N138" s="487"/>
      <c r="O138" s="478">
        <f t="shared" si="24"/>
        <v>0</v>
      </c>
      <c r="P138" s="478">
        <f t="shared" si="25"/>
        <v>0</v>
      </c>
    </row>
    <row r="139" spans="2:16">
      <c r="B139" s="160" t="str">
        <f t="shared" si="16"/>
        <v/>
      </c>
      <c r="C139" s="472">
        <f>IF(D93="","-",+C138+1)</f>
        <v>2060</v>
      </c>
      <c r="D139" s="347">
        <f>IF(F138+SUM(E$99:E138)=D$92,F138,D$92-SUM(E$99:E138))</f>
        <v>123769</v>
      </c>
      <c r="E139" s="484">
        <f t="shared" si="17"/>
        <v>61880</v>
      </c>
      <c r="F139" s="485">
        <f t="shared" si="18"/>
        <v>61889</v>
      </c>
      <c r="G139" s="485">
        <f t="shared" si="19"/>
        <v>92829</v>
      </c>
      <c r="H139" s="486">
        <f t="shared" si="20"/>
        <v>72443.271184317753</v>
      </c>
      <c r="I139" s="542">
        <f t="shared" si="21"/>
        <v>72443.271184317753</v>
      </c>
      <c r="J139" s="478">
        <f t="shared" si="22"/>
        <v>0</v>
      </c>
      <c r="K139" s="478"/>
      <c r="L139" s="487"/>
      <c r="M139" s="478">
        <f t="shared" si="23"/>
        <v>0</v>
      </c>
      <c r="N139" s="487"/>
      <c r="O139" s="478">
        <f t="shared" si="24"/>
        <v>0</v>
      </c>
      <c r="P139" s="478">
        <f t="shared" si="25"/>
        <v>0</v>
      </c>
    </row>
    <row r="140" spans="2:16">
      <c r="B140" s="160" t="str">
        <f t="shared" si="16"/>
        <v/>
      </c>
      <c r="C140" s="472">
        <f>IF(D93="","-",+C139+1)</f>
        <v>2061</v>
      </c>
      <c r="D140" s="347">
        <f>IF(F139+SUM(E$99:E139)=D$92,F139,D$92-SUM(E$99:E139))</f>
        <v>61889</v>
      </c>
      <c r="E140" s="484">
        <f t="shared" si="17"/>
        <v>61880</v>
      </c>
      <c r="F140" s="485">
        <f t="shared" si="18"/>
        <v>9</v>
      </c>
      <c r="G140" s="485">
        <f t="shared" si="19"/>
        <v>30949</v>
      </c>
      <c r="H140" s="486">
        <f t="shared" si="20"/>
        <v>65401.773151530775</v>
      </c>
      <c r="I140" s="542">
        <f t="shared" si="21"/>
        <v>65401.773151530775</v>
      </c>
      <c r="J140" s="478">
        <f t="shared" si="22"/>
        <v>0</v>
      </c>
      <c r="K140" s="478"/>
      <c r="L140" s="487"/>
      <c r="M140" s="478">
        <f t="shared" si="23"/>
        <v>0</v>
      </c>
      <c r="N140" s="487"/>
      <c r="O140" s="478">
        <f t="shared" si="24"/>
        <v>0</v>
      </c>
      <c r="P140" s="478">
        <f t="shared" si="25"/>
        <v>0</v>
      </c>
    </row>
    <row r="141" spans="2:16">
      <c r="B141" s="160" t="str">
        <f t="shared" si="16"/>
        <v/>
      </c>
      <c r="C141" s="472">
        <f>IF(D93="","-",+C140+1)</f>
        <v>2062</v>
      </c>
      <c r="D141" s="347">
        <f>IF(F140+SUM(E$99:E140)=D$92,F140,D$92-SUM(E$99:E140))</f>
        <v>9</v>
      </c>
      <c r="E141" s="484">
        <f t="shared" si="17"/>
        <v>9</v>
      </c>
      <c r="F141" s="485">
        <f t="shared" si="18"/>
        <v>0</v>
      </c>
      <c r="G141" s="485">
        <f t="shared" si="19"/>
        <v>4.5</v>
      </c>
      <c r="H141" s="486">
        <f t="shared" si="20"/>
        <v>9.5120675686415872</v>
      </c>
      <c r="I141" s="542">
        <f t="shared" si="21"/>
        <v>9.5120675686415872</v>
      </c>
      <c r="J141" s="478">
        <f t="shared" si="22"/>
        <v>0</v>
      </c>
      <c r="K141" s="478"/>
      <c r="L141" s="487"/>
      <c r="M141" s="478">
        <f t="shared" si="23"/>
        <v>0</v>
      </c>
      <c r="N141" s="487"/>
      <c r="O141" s="478">
        <f t="shared" si="24"/>
        <v>0</v>
      </c>
      <c r="P141" s="478">
        <f t="shared" si="25"/>
        <v>0</v>
      </c>
    </row>
    <row r="142" spans="2:16">
      <c r="B142" s="160" t="str">
        <f t="shared" si="16"/>
        <v/>
      </c>
      <c r="C142" s="472">
        <f>IF(D93="","-",+C141+1)</f>
        <v>2063</v>
      </c>
      <c r="D142" s="347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486">
        <f t="shared" si="20"/>
        <v>0</v>
      </c>
      <c r="I142" s="542">
        <f t="shared" si="21"/>
        <v>0</v>
      </c>
      <c r="J142" s="478">
        <f t="shared" si="22"/>
        <v>0</v>
      </c>
      <c r="K142" s="478"/>
      <c r="L142" s="487"/>
      <c r="M142" s="478">
        <f t="shared" si="23"/>
        <v>0</v>
      </c>
      <c r="N142" s="487"/>
      <c r="O142" s="478">
        <f t="shared" si="24"/>
        <v>0</v>
      </c>
      <c r="P142" s="478">
        <f t="shared" si="25"/>
        <v>0</v>
      </c>
    </row>
    <row r="143" spans="2:16">
      <c r="B143" s="160" t="str">
        <f t="shared" si="16"/>
        <v/>
      </c>
      <c r="C143" s="472">
        <f>IF(D93="","-",+C142+1)</f>
        <v>2064</v>
      </c>
      <c r="D143" s="347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486">
        <f t="shared" si="20"/>
        <v>0</v>
      </c>
      <c r="I143" s="542">
        <f t="shared" si="21"/>
        <v>0</v>
      </c>
      <c r="J143" s="478">
        <f t="shared" si="22"/>
        <v>0</v>
      </c>
      <c r="K143" s="478"/>
      <c r="L143" s="487"/>
      <c r="M143" s="478">
        <f t="shared" si="23"/>
        <v>0</v>
      </c>
      <c r="N143" s="487"/>
      <c r="O143" s="478">
        <f t="shared" si="24"/>
        <v>0</v>
      </c>
      <c r="P143" s="478">
        <f t="shared" si="25"/>
        <v>0</v>
      </c>
    </row>
    <row r="144" spans="2:16">
      <c r="B144" s="160" t="str">
        <f t="shared" si="16"/>
        <v/>
      </c>
      <c r="C144" s="472">
        <f>IF(D93="","-",+C143+1)</f>
        <v>2065</v>
      </c>
      <c r="D144" s="347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486">
        <f t="shared" si="20"/>
        <v>0</v>
      </c>
      <c r="I144" s="542">
        <f t="shared" si="21"/>
        <v>0</v>
      </c>
      <c r="J144" s="478">
        <f t="shared" si="22"/>
        <v>0</v>
      </c>
      <c r="K144" s="478"/>
      <c r="L144" s="487"/>
      <c r="M144" s="478">
        <f t="shared" si="23"/>
        <v>0</v>
      </c>
      <c r="N144" s="487"/>
      <c r="O144" s="478">
        <f t="shared" si="24"/>
        <v>0</v>
      </c>
      <c r="P144" s="478">
        <f t="shared" si="25"/>
        <v>0</v>
      </c>
    </row>
    <row r="145" spans="2:16">
      <c r="B145" s="160" t="str">
        <f t="shared" si="16"/>
        <v/>
      </c>
      <c r="C145" s="472">
        <f>IF(D93="","-",+C144+1)</f>
        <v>2066</v>
      </c>
      <c r="D145" s="347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486">
        <f t="shared" si="20"/>
        <v>0</v>
      </c>
      <c r="I145" s="542">
        <f t="shared" si="21"/>
        <v>0</v>
      </c>
      <c r="J145" s="478">
        <f t="shared" si="22"/>
        <v>0</v>
      </c>
      <c r="K145" s="478"/>
      <c r="L145" s="487"/>
      <c r="M145" s="478">
        <f t="shared" si="23"/>
        <v>0</v>
      </c>
      <c r="N145" s="487"/>
      <c r="O145" s="478">
        <f t="shared" si="24"/>
        <v>0</v>
      </c>
      <c r="P145" s="478">
        <f t="shared" si="25"/>
        <v>0</v>
      </c>
    </row>
    <row r="146" spans="2:16">
      <c r="B146" s="160" t="str">
        <f t="shared" si="16"/>
        <v/>
      </c>
      <c r="C146" s="472">
        <f>IF(D93="","-",+C145+1)</f>
        <v>2067</v>
      </c>
      <c r="D146" s="347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486">
        <f t="shared" si="20"/>
        <v>0</v>
      </c>
      <c r="I146" s="542">
        <f t="shared" si="21"/>
        <v>0</v>
      </c>
      <c r="J146" s="478">
        <f t="shared" si="22"/>
        <v>0</v>
      </c>
      <c r="K146" s="478"/>
      <c r="L146" s="487"/>
      <c r="M146" s="478">
        <f t="shared" si="23"/>
        <v>0</v>
      </c>
      <c r="N146" s="487"/>
      <c r="O146" s="478">
        <f t="shared" si="24"/>
        <v>0</v>
      </c>
      <c r="P146" s="478">
        <f t="shared" si="25"/>
        <v>0</v>
      </c>
    </row>
    <row r="147" spans="2:16">
      <c r="B147" s="160" t="str">
        <f t="shared" si="16"/>
        <v/>
      </c>
      <c r="C147" s="472">
        <f>IF(D93="","-",+C146+1)</f>
        <v>2068</v>
      </c>
      <c r="D147" s="347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486">
        <f t="shared" si="20"/>
        <v>0</v>
      </c>
      <c r="I147" s="542">
        <f t="shared" si="21"/>
        <v>0</v>
      </c>
      <c r="J147" s="478">
        <f t="shared" si="22"/>
        <v>0</v>
      </c>
      <c r="K147" s="478"/>
      <c r="L147" s="487"/>
      <c r="M147" s="478">
        <f t="shared" si="23"/>
        <v>0</v>
      </c>
      <c r="N147" s="487"/>
      <c r="O147" s="478">
        <f t="shared" si="24"/>
        <v>0</v>
      </c>
      <c r="P147" s="478">
        <f t="shared" si="25"/>
        <v>0</v>
      </c>
    </row>
    <row r="148" spans="2:16">
      <c r="B148" s="160" t="str">
        <f t="shared" si="16"/>
        <v/>
      </c>
      <c r="C148" s="472">
        <f>IF(D93="","-",+C147+1)</f>
        <v>2069</v>
      </c>
      <c r="D148" s="347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486">
        <f t="shared" si="20"/>
        <v>0</v>
      </c>
      <c r="I148" s="542">
        <f t="shared" si="21"/>
        <v>0</v>
      </c>
      <c r="J148" s="478">
        <f t="shared" si="22"/>
        <v>0</v>
      </c>
      <c r="K148" s="478"/>
      <c r="L148" s="487"/>
      <c r="M148" s="478">
        <f t="shared" si="23"/>
        <v>0</v>
      </c>
      <c r="N148" s="487"/>
      <c r="O148" s="478">
        <f t="shared" si="24"/>
        <v>0</v>
      </c>
      <c r="P148" s="478">
        <f t="shared" si="25"/>
        <v>0</v>
      </c>
    </row>
    <row r="149" spans="2:16">
      <c r="B149" s="160" t="str">
        <f t="shared" si="16"/>
        <v/>
      </c>
      <c r="C149" s="472">
        <f>IF(D93="","-",+C148+1)</f>
        <v>2070</v>
      </c>
      <c r="D149" s="347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486">
        <f t="shared" si="20"/>
        <v>0</v>
      </c>
      <c r="I149" s="542">
        <f t="shared" si="21"/>
        <v>0</v>
      </c>
      <c r="J149" s="478">
        <f t="shared" si="22"/>
        <v>0</v>
      </c>
      <c r="K149" s="478"/>
      <c r="L149" s="487"/>
      <c r="M149" s="478">
        <f t="shared" si="23"/>
        <v>0</v>
      </c>
      <c r="N149" s="487"/>
      <c r="O149" s="478">
        <f t="shared" si="24"/>
        <v>0</v>
      </c>
      <c r="P149" s="478">
        <f t="shared" si="25"/>
        <v>0</v>
      </c>
    </row>
    <row r="150" spans="2:16">
      <c r="B150" s="160" t="str">
        <f t="shared" si="16"/>
        <v/>
      </c>
      <c r="C150" s="472">
        <f>IF(D93="","-",+C149+1)</f>
        <v>2071</v>
      </c>
      <c r="D150" s="347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486">
        <f t="shared" si="20"/>
        <v>0</v>
      </c>
      <c r="I150" s="542">
        <f t="shared" si="21"/>
        <v>0</v>
      </c>
      <c r="J150" s="478">
        <f t="shared" si="22"/>
        <v>0</v>
      </c>
      <c r="K150" s="478"/>
      <c r="L150" s="487"/>
      <c r="M150" s="478">
        <f t="shared" si="23"/>
        <v>0</v>
      </c>
      <c r="N150" s="487"/>
      <c r="O150" s="478">
        <f t="shared" si="24"/>
        <v>0</v>
      </c>
      <c r="P150" s="478">
        <f t="shared" si="25"/>
        <v>0</v>
      </c>
    </row>
    <row r="151" spans="2:16">
      <c r="B151" s="160" t="str">
        <f t="shared" si="16"/>
        <v/>
      </c>
      <c r="C151" s="472">
        <f>IF(D93="","-",+C150+1)</f>
        <v>2072</v>
      </c>
      <c r="D151" s="347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486">
        <f t="shared" si="20"/>
        <v>0</v>
      </c>
      <c r="I151" s="542">
        <f t="shared" si="21"/>
        <v>0</v>
      </c>
      <c r="J151" s="478">
        <f t="shared" si="22"/>
        <v>0</v>
      </c>
      <c r="K151" s="478"/>
      <c r="L151" s="487"/>
      <c r="M151" s="478">
        <f t="shared" si="23"/>
        <v>0</v>
      </c>
      <c r="N151" s="487"/>
      <c r="O151" s="478">
        <f t="shared" si="24"/>
        <v>0</v>
      </c>
      <c r="P151" s="478">
        <f t="shared" si="25"/>
        <v>0</v>
      </c>
    </row>
    <row r="152" spans="2:16">
      <c r="B152" s="160" t="str">
        <f t="shared" si="16"/>
        <v/>
      </c>
      <c r="C152" s="472">
        <f>IF(D93="","-",+C151+1)</f>
        <v>2073</v>
      </c>
      <c r="D152" s="347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486">
        <f t="shared" si="20"/>
        <v>0</v>
      </c>
      <c r="I152" s="542">
        <f t="shared" si="21"/>
        <v>0</v>
      </c>
      <c r="J152" s="478">
        <f t="shared" si="22"/>
        <v>0</v>
      </c>
      <c r="K152" s="478"/>
      <c r="L152" s="487"/>
      <c r="M152" s="478">
        <f t="shared" si="23"/>
        <v>0</v>
      </c>
      <c r="N152" s="487"/>
      <c r="O152" s="478">
        <f t="shared" si="24"/>
        <v>0</v>
      </c>
      <c r="P152" s="478">
        <f t="shared" si="25"/>
        <v>0</v>
      </c>
    </row>
    <row r="153" spans="2:16">
      <c r="B153" s="160" t="str">
        <f t="shared" si="16"/>
        <v/>
      </c>
      <c r="C153" s="472">
        <f>IF(D93="","-",+C152+1)</f>
        <v>2074</v>
      </c>
      <c r="D153" s="347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486">
        <f t="shared" si="20"/>
        <v>0</v>
      </c>
      <c r="I153" s="542">
        <f t="shared" si="21"/>
        <v>0</v>
      </c>
      <c r="J153" s="478">
        <f t="shared" si="22"/>
        <v>0</v>
      </c>
      <c r="K153" s="478"/>
      <c r="L153" s="487"/>
      <c r="M153" s="478">
        <f t="shared" si="23"/>
        <v>0</v>
      </c>
      <c r="N153" s="487"/>
      <c r="O153" s="478">
        <f t="shared" si="24"/>
        <v>0</v>
      </c>
      <c r="P153" s="478">
        <f t="shared" si="25"/>
        <v>0</v>
      </c>
    </row>
    <row r="154" spans="2:16" ht="13.5" thickBot="1">
      <c r="B154" s="160" t="str">
        <f t="shared" si="16"/>
        <v/>
      </c>
      <c r="C154" s="489">
        <f>IF(D93="","-",+C153+1)</f>
        <v>2075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3">
        <f t="shared" ref="H154" si="26">+J$94*G154+E154</f>
        <v>0</v>
      </c>
      <c r="I154" s="614">
        <f t="shared" ref="I154" si="27">+J$95*G154+E154</f>
        <v>0</v>
      </c>
      <c r="J154" s="495">
        <f t="shared" si="22"/>
        <v>0</v>
      </c>
      <c r="K154" s="478"/>
      <c r="L154" s="494"/>
      <c r="M154" s="495">
        <f t="shared" si="23"/>
        <v>0</v>
      </c>
      <c r="N154" s="494"/>
      <c r="O154" s="495">
        <f t="shared" si="24"/>
        <v>0</v>
      </c>
      <c r="P154" s="495">
        <f t="shared" si="25"/>
        <v>0</v>
      </c>
    </row>
    <row r="155" spans="2:16">
      <c r="C155" s="347" t="s">
        <v>77</v>
      </c>
      <c r="D155" s="348"/>
      <c r="E155" s="348">
        <f>SUM(E99:E154)</f>
        <v>2537089</v>
      </c>
      <c r="F155" s="348"/>
      <c r="G155" s="348"/>
      <c r="H155" s="348">
        <f>SUM(H99:H154)</f>
        <v>8601327.4923487026</v>
      </c>
      <c r="I155" s="348">
        <f>SUM(I99:I154)</f>
        <v>8601327.4923487026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conditionalFormatting sqref="C17:C72">
    <cfRule type="cellIs" dxfId="5" priority="1" stopIfTrue="1" operator="equal">
      <formula>$I$10</formula>
    </cfRule>
  </conditionalFormatting>
  <conditionalFormatting sqref="C99:C154">
    <cfRule type="cellIs" dxfId="4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162"/>
  <sheetViews>
    <sheetView tabSelected="1" zoomScale="80" zoomScaleNormal="80" workbookViewId="0">
      <selection activeCell="B3" sqref="B3"/>
    </sheetView>
  </sheetViews>
  <sheetFormatPr defaultRowHeight="12.75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110" t="s">
        <v>147</v>
      </c>
      <c r="B1" s="1"/>
      <c r="C1" s="10"/>
      <c r="D1" s="2"/>
      <c r="E1" s="1"/>
      <c r="F1" s="15"/>
      <c r="G1" s="1"/>
      <c r="H1" s="3"/>
      <c r="J1" s="7"/>
      <c r="K1" s="19"/>
      <c r="L1" s="19"/>
      <c r="M1" s="19"/>
      <c r="P1" s="116" t="str">
        <f ca="1">"PSO Project "&amp;RIGHT(MID(CELL("filename",$A$1),FIND("]",CELL("filename",$A$1))+1,256),2)&amp;" of "&amp;COUNT('P.001:P.xyz - blank'!$P$3)-1</f>
        <v>PSO Project 29 of 29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117" t="s">
        <v>150</v>
      </c>
    </row>
    <row r="3" spans="1:16" ht="18.75">
      <c r="B3" s="5" t="s">
        <v>42</v>
      </c>
      <c r="C3" s="14" t="s">
        <v>43</v>
      </c>
      <c r="D3" s="2"/>
      <c r="E3" s="1"/>
      <c r="F3" s="1"/>
      <c r="G3" s="1"/>
      <c r="H3" s="3"/>
      <c r="I3" s="3"/>
      <c r="J3" s="20"/>
      <c r="K3" s="3"/>
      <c r="L3" s="3"/>
      <c r="M3" s="3"/>
      <c r="N3" s="3"/>
      <c r="O3" s="1"/>
      <c r="P3" s="108">
        <v>1</v>
      </c>
    </row>
    <row r="4" spans="1:16" ht="15.75" thickBot="1">
      <c r="C4" s="13"/>
      <c r="D4" s="2"/>
      <c r="E4" s="1"/>
      <c r="F4" s="1"/>
      <c r="G4" s="1"/>
      <c r="H4" s="3"/>
      <c r="I4" s="3"/>
      <c r="J4" s="20"/>
      <c r="K4" s="3"/>
      <c r="L4" s="3"/>
      <c r="M4" s="3"/>
      <c r="N4" s="3"/>
      <c r="O4" s="1"/>
      <c r="P4" s="1"/>
    </row>
    <row r="5" spans="1:16" ht="15">
      <c r="C5" s="21" t="s">
        <v>44</v>
      </c>
      <c r="D5" s="2"/>
      <c r="E5" s="1"/>
      <c r="F5" s="1"/>
      <c r="G5" s="22"/>
      <c r="H5" s="1" t="s">
        <v>45</v>
      </c>
      <c r="I5" s="1"/>
      <c r="J5" s="4"/>
      <c r="K5" s="23" t="s">
        <v>284</v>
      </c>
      <c r="L5" s="24"/>
      <c r="M5" s="25"/>
      <c r="N5" s="26">
        <f>VLOOKUP(I10,C17:I72,5)</f>
        <v>0</v>
      </c>
      <c r="P5" s="1"/>
    </row>
    <row r="6" spans="1:16" ht="15.75">
      <c r="C6" s="8"/>
      <c r="D6" s="2"/>
      <c r="E6" s="1"/>
      <c r="F6" s="1"/>
      <c r="G6" s="1"/>
      <c r="H6" s="27"/>
      <c r="I6" s="27"/>
      <c r="J6" s="28"/>
      <c r="K6" s="29" t="s">
        <v>285</v>
      </c>
      <c r="L6" s="30"/>
      <c r="M6" s="4"/>
      <c r="N6" s="31">
        <f>VLOOKUP(I10,C17:I72,6)</f>
        <v>0</v>
      </c>
      <c r="O6" s="1"/>
      <c r="P6" s="1"/>
    </row>
    <row r="7" spans="1:16" ht="13.5" thickBot="1">
      <c r="C7" s="32" t="s">
        <v>46</v>
      </c>
      <c r="D7" s="104" t="s">
        <v>352</v>
      </c>
      <c r="E7" s="1"/>
      <c r="F7" s="1"/>
      <c r="G7" s="1"/>
      <c r="H7" s="3"/>
      <c r="I7" s="3"/>
      <c r="J7" s="20"/>
      <c r="K7" s="33" t="s">
        <v>47</v>
      </c>
      <c r="L7" s="34"/>
      <c r="M7" s="34"/>
      <c r="N7" s="35">
        <f>+N6-N5</f>
        <v>0</v>
      </c>
      <c r="O7" s="1"/>
      <c r="P7" s="1"/>
    </row>
    <row r="8" spans="1:16" ht="13.5" thickBot="1">
      <c r="C8" s="36"/>
      <c r="D8" s="114"/>
      <c r="E8" s="37"/>
      <c r="F8" s="37"/>
      <c r="G8" s="37"/>
      <c r="H8" s="37"/>
      <c r="I8" s="37"/>
      <c r="J8" s="16"/>
      <c r="K8" s="37"/>
      <c r="L8" s="37"/>
      <c r="M8" s="37"/>
      <c r="N8" s="37"/>
      <c r="O8" s="16"/>
      <c r="P8" s="10"/>
    </row>
    <row r="9" spans="1:16" ht="13.5" thickBot="1">
      <c r="C9" s="38" t="s">
        <v>48</v>
      </c>
      <c r="D9" s="106" t="s">
        <v>354</v>
      </c>
      <c r="E9" s="620" t="s">
        <v>353</v>
      </c>
      <c r="F9" s="39"/>
      <c r="G9" s="39"/>
      <c r="H9" s="39"/>
      <c r="I9" s="40"/>
      <c r="J9" s="41"/>
      <c r="O9" s="42"/>
      <c r="P9" s="4"/>
    </row>
    <row r="10" spans="1:16">
      <c r="C10" s="145" t="s">
        <v>226</v>
      </c>
      <c r="D10" s="43">
        <v>0</v>
      </c>
      <c r="E10" s="12" t="s">
        <v>51</v>
      </c>
      <c r="F10" s="42"/>
      <c r="G10" s="44"/>
      <c r="H10" s="44"/>
      <c r="I10" s="45">
        <f>+'PSO.WS.F.BPU.ATRR.Projected'!L19</f>
        <v>2021</v>
      </c>
      <c r="J10" s="41"/>
      <c r="K10" s="20" t="s">
        <v>52</v>
      </c>
      <c r="O10" s="4"/>
      <c r="P10" s="4"/>
    </row>
    <row r="11" spans="1:16">
      <c r="C11" s="46" t="s">
        <v>53</v>
      </c>
      <c r="D11" s="47">
        <v>2021</v>
      </c>
      <c r="E11" s="46" t="s">
        <v>54</v>
      </c>
      <c r="F11" s="44"/>
      <c r="G11" s="7"/>
      <c r="H11" s="7"/>
      <c r="I11" s="48">
        <f>IF(G5="",0,'PSO.WS.F.BPU.ATRR.Projected'!F$13)</f>
        <v>0</v>
      </c>
      <c r="J11" s="49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46" t="s">
        <v>55</v>
      </c>
      <c r="D12" s="43">
        <v>11</v>
      </c>
      <c r="E12" s="46" t="s">
        <v>56</v>
      </c>
      <c r="F12" s="44"/>
      <c r="G12" s="7"/>
      <c r="H12" s="7"/>
      <c r="I12" s="50">
        <f>'PSO.WS.F.BPU.ATRR.Projected'!$F$81</f>
        <v>0.11505633525681883</v>
      </c>
      <c r="J12" s="51"/>
      <c r="K12" t="s">
        <v>57</v>
      </c>
      <c r="O12" s="4"/>
      <c r="P12" s="4"/>
    </row>
    <row r="13" spans="1:16">
      <c r="C13" s="46" t="s">
        <v>58</v>
      </c>
      <c r="D13" s="48">
        <f>+'PSO.WS.F.BPU.ATRR.Projected'!F$93</f>
        <v>43</v>
      </c>
      <c r="E13" s="46" t="s">
        <v>59</v>
      </c>
      <c r="F13" s="44"/>
      <c r="G13" s="7"/>
      <c r="H13" s="7"/>
      <c r="I13" s="50">
        <f>IF(G5="",I12,'PSO.WS.F.BPU.ATRR.Projected'!$F$80)</f>
        <v>0.11505633525681883</v>
      </c>
      <c r="J13" s="51"/>
      <c r="K13" s="20" t="s">
        <v>60</v>
      </c>
      <c r="L13" s="11"/>
      <c r="M13" s="11"/>
      <c r="N13" s="11"/>
      <c r="O13" s="4"/>
      <c r="P13" s="4"/>
    </row>
    <row r="14" spans="1:16" ht="13.5" thickBot="1">
      <c r="C14" s="46" t="s">
        <v>61</v>
      </c>
      <c r="D14" s="47" t="s">
        <v>62</v>
      </c>
      <c r="E14" s="4" t="s">
        <v>63</v>
      </c>
      <c r="F14" s="44"/>
      <c r="G14" s="7"/>
      <c r="H14" s="7"/>
      <c r="I14" s="52">
        <f>IF(D10=0,0,D10/D13)</f>
        <v>0</v>
      </c>
      <c r="J14" s="20"/>
      <c r="K14" s="20"/>
      <c r="L14" s="20"/>
      <c r="M14" s="20"/>
      <c r="N14" s="20"/>
      <c r="O14" s="4"/>
      <c r="P14" s="4"/>
    </row>
    <row r="15" spans="1:16" ht="38.25">
      <c r="C15" s="53" t="s">
        <v>50</v>
      </c>
      <c r="D15" s="54" t="s">
        <v>64</v>
      </c>
      <c r="E15" s="54" t="s">
        <v>65</v>
      </c>
      <c r="F15" s="54" t="s">
        <v>66</v>
      </c>
      <c r="G15" s="142" t="s">
        <v>286</v>
      </c>
      <c r="H15" s="143" t="s">
        <v>287</v>
      </c>
      <c r="I15" s="53" t="s">
        <v>67</v>
      </c>
      <c r="J15" s="55"/>
      <c r="K15" s="135" t="s">
        <v>205</v>
      </c>
      <c r="L15" s="136" t="s">
        <v>68</v>
      </c>
      <c r="M15" s="135" t="s">
        <v>205</v>
      </c>
      <c r="N15" s="136" t="s">
        <v>68</v>
      </c>
      <c r="O15" s="56" t="s">
        <v>69</v>
      </c>
      <c r="P15" s="4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129" t="s">
        <v>73</v>
      </c>
      <c r="H16" s="58" t="s">
        <v>74</v>
      </c>
      <c r="I16" s="59" t="s">
        <v>104</v>
      </c>
      <c r="J16" s="60" t="s">
        <v>75</v>
      </c>
      <c r="K16" s="61" t="s">
        <v>76</v>
      </c>
      <c r="L16" s="137" t="s">
        <v>76</v>
      </c>
      <c r="M16" s="61" t="s">
        <v>105</v>
      </c>
      <c r="N16" s="138" t="s">
        <v>105</v>
      </c>
      <c r="O16" s="61" t="s">
        <v>105</v>
      </c>
      <c r="P16" s="4"/>
    </row>
    <row r="17" spans="2:16">
      <c r="B17" s="9"/>
      <c r="C17" s="62">
        <f>IF(D11= "","-",D11)</f>
        <v>2021</v>
      </c>
      <c r="D17" s="63">
        <v>0</v>
      </c>
      <c r="E17" s="64">
        <f>IF(D10&gt;=100000,I$14/12*(12-D12),0)</f>
        <v>0</v>
      </c>
      <c r="F17" s="68">
        <f>IF(D11=C17,+D10-E17,+D17-E17)</f>
        <v>0</v>
      </c>
      <c r="G17" s="64">
        <f>(D17+F17)/2*I$12+E17</f>
        <v>0</v>
      </c>
      <c r="H17" s="52">
        <f>+(D17+F17)/2*I$13+E17</f>
        <v>0</v>
      </c>
      <c r="I17" s="65">
        <f>H17-G17</f>
        <v>0</v>
      </c>
      <c r="J17" s="65"/>
      <c r="K17" s="134"/>
      <c r="L17" s="66">
        <f t="shared" ref="L17:L72" si="0">IF(K17&lt;&gt;0,+G17-K17,0)</f>
        <v>0</v>
      </c>
      <c r="M17" s="134"/>
      <c r="N17" s="66">
        <f t="shared" ref="N17:N72" si="1">IF(M17&lt;&gt;0,+H17-M17,0)</f>
        <v>0</v>
      </c>
      <c r="O17" s="67">
        <f t="shared" ref="O17:O72" si="2">+N17-L17</f>
        <v>0</v>
      </c>
      <c r="P17" s="4"/>
    </row>
    <row r="18" spans="2:16">
      <c r="B18" s="9" t="str">
        <f>IF(D18=F17,"","IU")</f>
        <v/>
      </c>
      <c r="C18" s="62">
        <f>IF(D11="","-",+C17+1)</f>
        <v>2022</v>
      </c>
      <c r="D18" s="71">
        <f>IF(F17+SUM(E$17:E17)=D$10,F17,D$10-SUM(E$17:E17))</f>
        <v>0</v>
      </c>
      <c r="E18" s="69">
        <f>IF(+I$14&lt;F17,I$14,D18)</f>
        <v>0</v>
      </c>
      <c r="F18" s="68">
        <f>+D18-E18</f>
        <v>0</v>
      </c>
      <c r="G18" s="70">
        <f>(D18+F18)/2*I$12+E18</f>
        <v>0</v>
      </c>
      <c r="H18" s="52">
        <f>+(D18+F18)/2*I$13+E18</f>
        <v>0</v>
      </c>
      <c r="I18" s="65">
        <f>H18-G18</f>
        <v>0</v>
      </c>
      <c r="J18" s="65"/>
      <c r="K18" s="132"/>
      <c r="L18" s="67">
        <f t="shared" si="0"/>
        <v>0</v>
      </c>
      <c r="M18" s="132"/>
      <c r="N18" s="67">
        <f t="shared" si="1"/>
        <v>0</v>
      </c>
      <c r="O18" s="67">
        <f t="shared" si="2"/>
        <v>0</v>
      </c>
      <c r="P18" s="4"/>
    </row>
    <row r="19" spans="2:16">
      <c r="B19" s="9" t="str">
        <f>IF(D19=F18,"","IU")</f>
        <v/>
      </c>
      <c r="C19" s="62">
        <f>IF(D11="","-",+C18+1)</f>
        <v>2023</v>
      </c>
      <c r="D19" s="71">
        <f>IF(F18+SUM(E$17:E18)=D$10,F18,D$10-SUM(E$17:E18))</f>
        <v>0</v>
      </c>
      <c r="E19" s="69">
        <f t="shared" ref="E19:E71" si="3">IF(+I$14&lt;F18,I$14,D19)</f>
        <v>0</v>
      </c>
      <c r="F19" s="68">
        <f t="shared" ref="F19:F71" si="4">+D19-E19</f>
        <v>0</v>
      </c>
      <c r="G19" s="70">
        <f t="shared" ref="G19:G71" si="5">(D19+F19)/2*I$12+E19</f>
        <v>0</v>
      </c>
      <c r="H19" s="52">
        <f t="shared" ref="H19:H71" si="6">+(D19+F19)/2*I$13+E19</f>
        <v>0</v>
      </c>
      <c r="I19" s="65">
        <f t="shared" ref="I19:I71" si="7">H19-G19</f>
        <v>0</v>
      </c>
      <c r="J19" s="65"/>
      <c r="K19" s="132"/>
      <c r="L19" s="67">
        <f t="shared" si="0"/>
        <v>0</v>
      </c>
      <c r="M19" s="132"/>
      <c r="N19" s="67">
        <f t="shared" si="1"/>
        <v>0</v>
      </c>
      <c r="O19" s="67">
        <f t="shared" si="2"/>
        <v>0</v>
      </c>
      <c r="P19" s="4"/>
    </row>
    <row r="20" spans="2:16">
      <c r="B20" s="9" t="str">
        <f t="shared" ref="B20:B72" si="8">IF(D20=F19,"","IU")</f>
        <v/>
      </c>
      <c r="C20" s="62">
        <f>IF(D11="","-",+C19+1)</f>
        <v>2024</v>
      </c>
      <c r="D20" s="71">
        <f>IF(F19+SUM(E$17:E19)=D$10,F19,D$10-SUM(E$17:E19))</f>
        <v>0</v>
      </c>
      <c r="E20" s="69">
        <f t="shared" si="3"/>
        <v>0</v>
      </c>
      <c r="F20" s="68">
        <f t="shared" si="4"/>
        <v>0</v>
      </c>
      <c r="G20" s="70">
        <f t="shared" si="5"/>
        <v>0</v>
      </c>
      <c r="H20" s="52">
        <f t="shared" si="6"/>
        <v>0</v>
      </c>
      <c r="I20" s="65">
        <f t="shared" si="7"/>
        <v>0</v>
      </c>
      <c r="J20" s="65"/>
      <c r="K20" s="132"/>
      <c r="L20" s="67">
        <f t="shared" si="0"/>
        <v>0</v>
      </c>
      <c r="M20" s="132"/>
      <c r="N20" s="67">
        <f t="shared" si="1"/>
        <v>0</v>
      </c>
      <c r="O20" s="67">
        <f t="shared" si="2"/>
        <v>0</v>
      </c>
      <c r="P20" s="4"/>
    </row>
    <row r="21" spans="2:16">
      <c r="B21" s="9" t="str">
        <f t="shared" si="8"/>
        <v/>
      </c>
      <c r="C21" s="62">
        <f>IF(D11="","-",+C20+1)</f>
        <v>2025</v>
      </c>
      <c r="D21" s="71">
        <f>IF(F20+SUM(E$17:E20)=D$10,F20,D$10-SUM(E$17:E20))</f>
        <v>0</v>
      </c>
      <c r="E21" s="69">
        <f t="shared" si="3"/>
        <v>0</v>
      </c>
      <c r="F21" s="68">
        <f t="shared" si="4"/>
        <v>0</v>
      </c>
      <c r="G21" s="70">
        <f t="shared" si="5"/>
        <v>0</v>
      </c>
      <c r="H21" s="52">
        <f t="shared" si="6"/>
        <v>0</v>
      </c>
      <c r="I21" s="65">
        <f t="shared" si="7"/>
        <v>0</v>
      </c>
      <c r="J21" s="65"/>
      <c r="K21" s="132"/>
      <c r="L21" s="67">
        <f t="shared" si="0"/>
        <v>0</v>
      </c>
      <c r="M21" s="132"/>
      <c r="N21" s="67">
        <f t="shared" si="1"/>
        <v>0</v>
      </c>
      <c r="O21" s="67">
        <f t="shared" si="2"/>
        <v>0</v>
      </c>
      <c r="P21" s="4"/>
    </row>
    <row r="22" spans="2:16">
      <c r="B22" s="9" t="str">
        <f t="shared" si="8"/>
        <v/>
      </c>
      <c r="C22" s="62">
        <f>IF(D11="","-",+C21+1)</f>
        <v>2026</v>
      </c>
      <c r="D22" s="71">
        <f>IF(F21+SUM(E$17:E21)=D$10,F21,D$10-SUM(E$17:E21))</f>
        <v>0</v>
      </c>
      <c r="E22" s="69">
        <f t="shared" si="3"/>
        <v>0</v>
      </c>
      <c r="F22" s="68">
        <f t="shared" si="4"/>
        <v>0</v>
      </c>
      <c r="G22" s="70">
        <f t="shared" si="5"/>
        <v>0</v>
      </c>
      <c r="H22" s="52">
        <f t="shared" si="6"/>
        <v>0</v>
      </c>
      <c r="I22" s="65">
        <f t="shared" si="7"/>
        <v>0</v>
      </c>
      <c r="J22" s="65"/>
      <c r="K22" s="132"/>
      <c r="L22" s="67">
        <f t="shared" si="0"/>
        <v>0</v>
      </c>
      <c r="M22" s="132"/>
      <c r="N22" s="67">
        <f t="shared" si="1"/>
        <v>0</v>
      </c>
      <c r="O22" s="67">
        <f t="shared" si="2"/>
        <v>0</v>
      </c>
      <c r="P22" s="4"/>
    </row>
    <row r="23" spans="2:16">
      <c r="B23" s="9" t="str">
        <f t="shared" si="8"/>
        <v/>
      </c>
      <c r="C23" s="62">
        <f>IF(D11="","-",+C22+1)</f>
        <v>2027</v>
      </c>
      <c r="D23" s="71">
        <f>IF(F22+SUM(E$17:E22)=D$10,F22,D$10-SUM(E$17:E22))</f>
        <v>0</v>
      </c>
      <c r="E23" s="69">
        <f t="shared" si="3"/>
        <v>0</v>
      </c>
      <c r="F23" s="68">
        <f t="shared" si="4"/>
        <v>0</v>
      </c>
      <c r="G23" s="70">
        <f t="shared" si="5"/>
        <v>0</v>
      </c>
      <c r="H23" s="52">
        <f t="shared" si="6"/>
        <v>0</v>
      </c>
      <c r="I23" s="65">
        <f t="shared" si="7"/>
        <v>0</v>
      </c>
      <c r="J23" s="65"/>
      <c r="K23" s="132"/>
      <c r="L23" s="67">
        <f t="shared" si="0"/>
        <v>0</v>
      </c>
      <c r="M23" s="132"/>
      <c r="N23" s="67">
        <f t="shared" si="1"/>
        <v>0</v>
      </c>
      <c r="O23" s="67">
        <f t="shared" si="2"/>
        <v>0</v>
      </c>
      <c r="P23" s="4"/>
    </row>
    <row r="24" spans="2:16">
      <c r="B24" s="9" t="str">
        <f t="shared" si="8"/>
        <v/>
      </c>
      <c r="C24" s="62">
        <f>IF(D11="","-",+C23+1)</f>
        <v>2028</v>
      </c>
      <c r="D24" s="71">
        <f>IF(F23+SUM(E$17:E23)=D$10,F23,D$10-SUM(E$17:E23))</f>
        <v>0</v>
      </c>
      <c r="E24" s="69">
        <f t="shared" si="3"/>
        <v>0</v>
      </c>
      <c r="F24" s="68">
        <f t="shared" si="4"/>
        <v>0</v>
      </c>
      <c r="G24" s="70">
        <f t="shared" si="5"/>
        <v>0</v>
      </c>
      <c r="H24" s="52">
        <f t="shared" si="6"/>
        <v>0</v>
      </c>
      <c r="I24" s="65">
        <f t="shared" si="7"/>
        <v>0</v>
      </c>
      <c r="J24" s="65"/>
      <c r="K24" s="132"/>
      <c r="L24" s="67">
        <f t="shared" si="0"/>
        <v>0</v>
      </c>
      <c r="M24" s="132"/>
      <c r="N24" s="67">
        <f t="shared" si="1"/>
        <v>0</v>
      </c>
      <c r="O24" s="67">
        <f t="shared" si="2"/>
        <v>0</v>
      </c>
      <c r="P24" s="4"/>
    </row>
    <row r="25" spans="2:16">
      <c r="B25" s="9" t="str">
        <f t="shared" si="8"/>
        <v/>
      </c>
      <c r="C25" s="62">
        <f>IF(D11="","-",+C24+1)</f>
        <v>2029</v>
      </c>
      <c r="D25" s="71">
        <f>IF(F24+SUM(E$17:E24)=D$10,F24,D$10-SUM(E$17:E24))</f>
        <v>0</v>
      </c>
      <c r="E25" s="69">
        <f t="shared" si="3"/>
        <v>0</v>
      </c>
      <c r="F25" s="68">
        <f t="shared" si="4"/>
        <v>0</v>
      </c>
      <c r="G25" s="70">
        <f t="shared" si="5"/>
        <v>0</v>
      </c>
      <c r="H25" s="52">
        <f t="shared" si="6"/>
        <v>0</v>
      </c>
      <c r="I25" s="65">
        <f t="shared" si="7"/>
        <v>0</v>
      </c>
      <c r="J25" s="65"/>
      <c r="K25" s="132"/>
      <c r="L25" s="67">
        <f t="shared" si="0"/>
        <v>0</v>
      </c>
      <c r="M25" s="132"/>
      <c r="N25" s="67">
        <f t="shared" si="1"/>
        <v>0</v>
      </c>
      <c r="O25" s="67">
        <f t="shared" si="2"/>
        <v>0</v>
      </c>
      <c r="P25" s="4"/>
    </row>
    <row r="26" spans="2:16">
      <c r="B26" s="9" t="str">
        <f t="shared" si="8"/>
        <v/>
      </c>
      <c r="C26" s="62">
        <f>IF(D11="","-",+C25+1)</f>
        <v>2030</v>
      </c>
      <c r="D26" s="71">
        <f>IF(F25+SUM(E$17:E25)=D$10,F25,D$10-SUM(E$17:E25))</f>
        <v>0</v>
      </c>
      <c r="E26" s="69">
        <f t="shared" si="3"/>
        <v>0</v>
      </c>
      <c r="F26" s="68">
        <f t="shared" si="4"/>
        <v>0</v>
      </c>
      <c r="G26" s="70">
        <f t="shared" si="5"/>
        <v>0</v>
      </c>
      <c r="H26" s="52">
        <f t="shared" si="6"/>
        <v>0</v>
      </c>
      <c r="I26" s="65">
        <f t="shared" si="7"/>
        <v>0</v>
      </c>
      <c r="J26" s="65"/>
      <c r="K26" s="132"/>
      <c r="L26" s="67">
        <f t="shared" si="0"/>
        <v>0</v>
      </c>
      <c r="M26" s="132"/>
      <c r="N26" s="67">
        <f t="shared" si="1"/>
        <v>0</v>
      </c>
      <c r="O26" s="67">
        <f t="shared" si="2"/>
        <v>0</v>
      </c>
      <c r="P26" s="4"/>
    </row>
    <row r="27" spans="2:16">
      <c r="B27" s="9" t="str">
        <f t="shared" si="8"/>
        <v/>
      </c>
      <c r="C27" s="62">
        <f>IF(D11="","-",+C26+1)</f>
        <v>2031</v>
      </c>
      <c r="D27" s="71">
        <f>IF(F26+SUM(E$17:E26)=D$10,F26,D$10-SUM(E$17:E26))</f>
        <v>0</v>
      </c>
      <c r="E27" s="69">
        <f t="shared" si="3"/>
        <v>0</v>
      </c>
      <c r="F27" s="68">
        <f t="shared" si="4"/>
        <v>0</v>
      </c>
      <c r="G27" s="70">
        <f t="shared" si="5"/>
        <v>0</v>
      </c>
      <c r="H27" s="52">
        <f t="shared" si="6"/>
        <v>0</v>
      </c>
      <c r="I27" s="65">
        <f t="shared" si="7"/>
        <v>0</v>
      </c>
      <c r="J27" s="65"/>
      <c r="K27" s="132"/>
      <c r="L27" s="67">
        <f t="shared" si="0"/>
        <v>0</v>
      </c>
      <c r="M27" s="132"/>
      <c r="N27" s="67">
        <f t="shared" si="1"/>
        <v>0</v>
      </c>
      <c r="O27" s="67">
        <f t="shared" si="2"/>
        <v>0</v>
      </c>
      <c r="P27" s="4"/>
    </row>
    <row r="28" spans="2:16">
      <c r="B28" s="9" t="str">
        <f t="shared" si="8"/>
        <v/>
      </c>
      <c r="C28" s="62">
        <f>IF(D11="","-",+C27+1)</f>
        <v>2032</v>
      </c>
      <c r="D28" s="71">
        <f>IF(F27+SUM(E$17:E27)=D$10,F27,D$10-SUM(E$17:E27))</f>
        <v>0</v>
      </c>
      <c r="E28" s="69">
        <f t="shared" si="3"/>
        <v>0</v>
      </c>
      <c r="F28" s="68">
        <f t="shared" si="4"/>
        <v>0</v>
      </c>
      <c r="G28" s="70">
        <f t="shared" si="5"/>
        <v>0</v>
      </c>
      <c r="H28" s="52">
        <f t="shared" si="6"/>
        <v>0</v>
      </c>
      <c r="I28" s="65">
        <f t="shared" si="7"/>
        <v>0</v>
      </c>
      <c r="J28" s="65"/>
      <c r="K28" s="132"/>
      <c r="L28" s="67">
        <f t="shared" si="0"/>
        <v>0</v>
      </c>
      <c r="M28" s="132"/>
      <c r="N28" s="67">
        <f t="shared" si="1"/>
        <v>0</v>
      </c>
      <c r="O28" s="67">
        <f t="shared" si="2"/>
        <v>0</v>
      </c>
      <c r="P28" s="4"/>
    </row>
    <row r="29" spans="2:16">
      <c r="B29" s="9" t="str">
        <f t="shared" si="8"/>
        <v/>
      </c>
      <c r="C29" s="62">
        <f>IF(D11="","-",+C28+1)</f>
        <v>2033</v>
      </c>
      <c r="D29" s="71">
        <f>IF(F28+SUM(E$17:E28)=D$10,F28,D$10-SUM(E$17:E28))</f>
        <v>0</v>
      </c>
      <c r="E29" s="69">
        <f t="shared" si="3"/>
        <v>0</v>
      </c>
      <c r="F29" s="68">
        <f t="shared" si="4"/>
        <v>0</v>
      </c>
      <c r="G29" s="70">
        <f t="shared" si="5"/>
        <v>0</v>
      </c>
      <c r="H29" s="52">
        <f t="shared" si="6"/>
        <v>0</v>
      </c>
      <c r="I29" s="65">
        <f t="shared" si="7"/>
        <v>0</v>
      </c>
      <c r="J29" s="65"/>
      <c r="K29" s="132"/>
      <c r="L29" s="67">
        <f t="shared" si="0"/>
        <v>0</v>
      </c>
      <c r="M29" s="132"/>
      <c r="N29" s="67">
        <f t="shared" si="1"/>
        <v>0</v>
      </c>
      <c r="O29" s="67">
        <f t="shared" si="2"/>
        <v>0</v>
      </c>
      <c r="P29" s="4"/>
    </row>
    <row r="30" spans="2:16">
      <c r="B30" s="9" t="str">
        <f t="shared" si="8"/>
        <v/>
      </c>
      <c r="C30" s="62">
        <f>IF(D11="","-",+C29+1)</f>
        <v>2034</v>
      </c>
      <c r="D30" s="71">
        <f>IF(F29+SUM(E$17:E29)=D$10,F29,D$10-SUM(E$17:E29))</f>
        <v>0</v>
      </c>
      <c r="E30" s="69">
        <f t="shared" si="3"/>
        <v>0</v>
      </c>
      <c r="F30" s="68">
        <f t="shared" si="4"/>
        <v>0</v>
      </c>
      <c r="G30" s="70">
        <f t="shared" si="5"/>
        <v>0</v>
      </c>
      <c r="H30" s="52">
        <f t="shared" si="6"/>
        <v>0</v>
      </c>
      <c r="I30" s="65">
        <f t="shared" si="7"/>
        <v>0</v>
      </c>
      <c r="J30" s="65"/>
      <c r="K30" s="132"/>
      <c r="L30" s="67">
        <f t="shared" si="0"/>
        <v>0</v>
      </c>
      <c r="M30" s="132"/>
      <c r="N30" s="67">
        <f t="shared" si="1"/>
        <v>0</v>
      </c>
      <c r="O30" s="67">
        <f t="shared" si="2"/>
        <v>0</v>
      </c>
      <c r="P30" s="4"/>
    </row>
    <row r="31" spans="2:16">
      <c r="B31" s="9" t="str">
        <f t="shared" si="8"/>
        <v/>
      </c>
      <c r="C31" s="62">
        <f>IF(D11="","-",+C30+1)</f>
        <v>2035</v>
      </c>
      <c r="D31" s="71">
        <f>IF(F30+SUM(E$17:E30)=D$10,F30,D$10-SUM(E$17:E30))</f>
        <v>0</v>
      </c>
      <c r="E31" s="69">
        <f t="shared" si="3"/>
        <v>0</v>
      </c>
      <c r="F31" s="68">
        <f t="shared" si="4"/>
        <v>0</v>
      </c>
      <c r="G31" s="70">
        <f t="shared" si="5"/>
        <v>0</v>
      </c>
      <c r="H31" s="52">
        <f t="shared" si="6"/>
        <v>0</v>
      </c>
      <c r="I31" s="65">
        <f t="shared" si="7"/>
        <v>0</v>
      </c>
      <c r="J31" s="65"/>
      <c r="K31" s="132"/>
      <c r="L31" s="67">
        <f t="shared" si="0"/>
        <v>0</v>
      </c>
      <c r="M31" s="132"/>
      <c r="N31" s="67">
        <f t="shared" si="1"/>
        <v>0</v>
      </c>
      <c r="O31" s="67">
        <f t="shared" si="2"/>
        <v>0</v>
      </c>
      <c r="P31" s="4"/>
    </row>
    <row r="32" spans="2:16">
      <c r="B32" s="9" t="str">
        <f t="shared" si="8"/>
        <v/>
      </c>
      <c r="C32" s="62">
        <f>IF(D11="","-",+C31+1)</f>
        <v>2036</v>
      </c>
      <c r="D32" s="71">
        <f>IF(F31+SUM(E$17:E31)=D$10,F31,D$10-SUM(E$17:E31))</f>
        <v>0</v>
      </c>
      <c r="E32" s="69">
        <f t="shared" si="3"/>
        <v>0</v>
      </c>
      <c r="F32" s="68">
        <f t="shared" si="4"/>
        <v>0</v>
      </c>
      <c r="G32" s="70">
        <f t="shared" si="5"/>
        <v>0</v>
      </c>
      <c r="H32" s="52">
        <f t="shared" si="6"/>
        <v>0</v>
      </c>
      <c r="I32" s="65">
        <f t="shared" si="7"/>
        <v>0</v>
      </c>
      <c r="J32" s="65"/>
      <c r="K32" s="132"/>
      <c r="L32" s="67">
        <f t="shared" si="0"/>
        <v>0</v>
      </c>
      <c r="M32" s="132"/>
      <c r="N32" s="67">
        <f t="shared" si="1"/>
        <v>0</v>
      </c>
      <c r="O32" s="67">
        <f t="shared" si="2"/>
        <v>0</v>
      </c>
      <c r="P32" s="4"/>
    </row>
    <row r="33" spans="2:16">
      <c r="B33" s="9" t="str">
        <f t="shared" si="8"/>
        <v/>
      </c>
      <c r="C33" s="62">
        <f>IF(D11="","-",+C32+1)</f>
        <v>2037</v>
      </c>
      <c r="D33" s="71">
        <f>IF(F32+SUM(E$17:E32)=D$10,F32,D$10-SUM(E$17:E32))</f>
        <v>0</v>
      </c>
      <c r="E33" s="69">
        <f t="shared" si="3"/>
        <v>0</v>
      </c>
      <c r="F33" s="68">
        <f t="shared" si="4"/>
        <v>0</v>
      </c>
      <c r="G33" s="70">
        <f t="shared" si="5"/>
        <v>0</v>
      </c>
      <c r="H33" s="52">
        <f t="shared" si="6"/>
        <v>0</v>
      </c>
      <c r="I33" s="65">
        <f t="shared" si="7"/>
        <v>0</v>
      </c>
      <c r="J33" s="65"/>
      <c r="K33" s="132"/>
      <c r="L33" s="67">
        <f t="shared" si="0"/>
        <v>0</v>
      </c>
      <c r="M33" s="132"/>
      <c r="N33" s="67">
        <f t="shared" si="1"/>
        <v>0</v>
      </c>
      <c r="O33" s="67">
        <f t="shared" si="2"/>
        <v>0</v>
      </c>
      <c r="P33" s="4"/>
    </row>
    <row r="34" spans="2:16">
      <c r="B34" s="9" t="str">
        <f t="shared" si="8"/>
        <v/>
      </c>
      <c r="C34" s="62">
        <f>IF(D11="","-",+C33+1)</f>
        <v>2038</v>
      </c>
      <c r="D34" s="71">
        <f>IF(F33+SUM(E$17:E33)=D$10,F33,D$10-SUM(E$17:E33))</f>
        <v>0</v>
      </c>
      <c r="E34" s="69">
        <f t="shared" si="3"/>
        <v>0</v>
      </c>
      <c r="F34" s="68">
        <f t="shared" si="4"/>
        <v>0</v>
      </c>
      <c r="G34" s="70">
        <f t="shared" si="5"/>
        <v>0</v>
      </c>
      <c r="H34" s="52">
        <f t="shared" si="6"/>
        <v>0</v>
      </c>
      <c r="I34" s="65">
        <f t="shared" si="7"/>
        <v>0</v>
      </c>
      <c r="J34" s="65"/>
      <c r="K34" s="132"/>
      <c r="L34" s="67">
        <f t="shared" si="0"/>
        <v>0</v>
      </c>
      <c r="M34" s="132"/>
      <c r="N34" s="67">
        <f t="shared" si="1"/>
        <v>0</v>
      </c>
      <c r="O34" s="67">
        <f t="shared" si="2"/>
        <v>0</v>
      </c>
      <c r="P34" s="4"/>
    </row>
    <row r="35" spans="2:16">
      <c r="B35" s="9" t="str">
        <f t="shared" si="8"/>
        <v/>
      </c>
      <c r="C35" s="62">
        <f>IF(D11="","-",+C34+1)</f>
        <v>2039</v>
      </c>
      <c r="D35" s="71">
        <f>IF(F34+SUM(E$17:E34)=D$10,F34,D$10-SUM(E$17:E34))</f>
        <v>0</v>
      </c>
      <c r="E35" s="69">
        <f t="shared" si="3"/>
        <v>0</v>
      </c>
      <c r="F35" s="68">
        <f t="shared" si="4"/>
        <v>0</v>
      </c>
      <c r="G35" s="70">
        <f t="shared" si="5"/>
        <v>0</v>
      </c>
      <c r="H35" s="52">
        <f t="shared" si="6"/>
        <v>0</v>
      </c>
      <c r="I35" s="65">
        <f t="shared" si="7"/>
        <v>0</v>
      </c>
      <c r="J35" s="65"/>
      <c r="K35" s="132"/>
      <c r="L35" s="67">
        <f t="shared" si="0"/>
        <v>0</v>
      </c>
      <c r="M35" s="132"/>
      <c r="N35" s="67">
        <f t="shared" si="1"/>
        <v>0</v>
      </c>
      <c r="O35" s="67">
        <f t="shared" si="2"/>
        <v>0</v>
      </c>
      <c r="P35" s="4"/>
    </row>
    <row r="36" spans="2:16">
      <c r="B36" s="9" t="str">
        <f t="shared" si="8"/>
        <v/>
      </c>
      <c r="C36" s="62">
        <f>IF(D11="","-",+C35+1)</f>
        <v>2040</v>
      </c>
      <c r="D36" s="71">
        <f>IF(F35+SUM(E$17:E35)=D$10,F35,D$10-SUM(E$17:E35))</f>
        <v>0</v>
      </c>
      <c r="E36" s="69">
        <f t="shared" si="3"/>
        <v>0</v>
      </c>
      <c r="F36" s="68">
        <f t="shared" si="4"/>
        <v>0</v>
      </c>
      <c r="G36" s="70">
        <f t="shared" si="5"/>
        <v>0</v>
      </c>
      <c r="H36" s="52">
        <f t="shared" si="6"/>
        <v>0</v>
      </c>
      <c r="I36" s="65">
        <f t="shared" si="7"/>
        <v>0</v>
      </c>
      <c r="J36" s="65"/>
      <c r="K36" s="132"/>
      <c r="L36" s="67">
        <f t="shared" si="0"/>
        <v>0</v>
      </c>
      <c r="M36" s="132"/>
      <c r="N36" s="67">
        <f t="shared" si="1"/>
        <v>0</v>
      </c>
      <c r="O36" s="67">
        <f t="shared" si="2"/>
        <v>0</v>
      </c>
      <c r="P36" s="4"/>
    </row>
    <row r="37" spans="2:16">
      <c r="B37" s="9" t="str">
        <f t="shared" si="8"/>
        <v/>
      </c>
      <c r="C37" s="62">
        <f>IF(D11="","-",+C36+1)</f>
        <v>2041</v>
      </c>
      <c r="D37" s="71">
        <f>IF(F36+SUM(E$17:E36)=D$10,F36,D$10-SUM(E$17:E36))</f>
        <v>0</v>
      </c>
      <c r="E37" s="69">
        <f t="shared" si="3"/>
        <v>0</v>
      </c>
      <c r="F37" s="68">
        <f t="shared" si="4"/>
        <v>0</v>
      </c>
      <c r="G37" s="70">
        <f t="shared" si="5"/>
        <v>0</v>
      </c>
      <c r="H37" s="52">
        <f t="shared" si="6"/>
        <v>0</v>
      </c>
      <c r="I37" s="65">
        <f t="shared" si="7"/>
        <v>0</v>
      </c>
      <c r="J37" s="65"/>
      <c r="K37" s="132"/>
      <c r="L37" s="67">
        <f t="shared" si="0"/>
        <v>0</v>
      </c>
      <c r="M37" s="132"/>
      <c r="N37" s="67">
        <f t="shared" si="1"/>
        <v>0</v>
      </c>
      <c r="O37" s="67">
        <f t="shared" si="2"/>
        <v>0</v>
      </c>
      <c r="P37" s="4"/>
    </row>
    <row r="38" spans="2:16">
      <c r="B38" s="9" t="str">
        <f t="shared" si="8"/>
        <v/>
      </c>
      <c r="C38" s="62">
        <f>IF(D11="","-",+C37+1)</f>
        <v>2042</v>
      </c>
      <c r="D38" s="71">
        <f>IF(F37+SUM(E$17:E37)=D$10,F37,D$10-SUM(E$17:E37))</f>
        <v>0</v>
      </c>
      <c r="E38" s="69">
        <f t="shared" si="3"/>
        <v>0</v>
      </c>
      <c r="F38" s="68">
        <f t="shared" si="4"/>
        <v>0</v>
      </c>
      <c r="G38" s="70">
        <f t="shared" si="5"/>
        <v>0</v>
      </c>
      <c r="H38" s="52">
        <f t="shared" si="6"/>
        <v>0</v>
      </c>
      <c r="I38" s="65">
        <f t="shared" si="7"/>
        <v>0</v>
      </c>
      <c r="J38" s="65"/>
      <c r="K38" s="132"/>
      <c r="L38" s="67">
        <f t="shared" si="0"/>
        <v>0</v>
      </c>
      <c r="M38" s="132"/>
      <c r="N38" s="67">
        <f t="shared" si="1"/>
        <v>0</v>
      </c>
      <c r="O38" s="67">
        <f t="shared" si="2"/>
        <v>0</v>
      </c>
      <c r="P38" s="4"/>
    </row>
    <row r="39" spans="2:16">
      <c r="B39" s="9" t="str">
        <f t="shared" si="8"/>
        <v/>
      </c>
      <c r="C39" s="62">
        <f>IF(D11="","-",+C38+1)</f>
        <v>2043</v>
      </c>
      <c r="D39" s="71">
        <f>IF(F38+SUM(E$17:E38)=D$10,F38,D$10-SUM(E$17:E38))</f>
        <v>0</v>
      </c>
      <c r="E39" s="69">
        <f t="shared" si="3"/>
        <v>0</v>
      </c>
      <c r="F39" s="68">
        <f t="shared" si="4"/>
        <v>0</v>
      </c>
      <c r="G39" s="70">
        <f t="shared" si="5"/>
        <v>0</v>
      </c>
      <c r="H39" s="52">
        <f t="shared" si="6"/>
        <v>0</v>
      </c>
      <c r="I39" s="65">
        <f t="shared" si="7"/>
        <v>0</v>
      </c>
      <c r="J39" s="65"/>
      <c r="K39" s="132"/>
      <c r="L39" s="67">
        <f t="shared" si="0"/>
        <v>0</v>
      </c>
      <c r="M39" s="132"/>
      <c r="N39" s="67">
        <f t="shared" si="1"/>
        <v>0</v>
      </c>
      <c r="O39" s="67">
        <f t="shared" si="2"/>
        <v>0</v>
      </c>
      <c r="P39" s="4"/>
    </row>
    <row r="40" spans="2:16">
      <c r="B40" s="9" t="str">
        <f t="shared" si="8"/>
        <v/>
      </c>
      <c r="C40" s="62">
        <f>IF(D11="","-",+C39+1)</f>
        <v>2044</v>
      </c>
      <c r="D40" s="71">
        <f>IF(F39+SUM(E$17:E39)=D$10,F39,D$10-SUM(E$17:E39))</f>
        <v>0</v>
      </c>
      <c r="E40" s="69">
        <f t="shared" si="3"/>
        <v>0</v>
      </c>
      <c r="F40" s="68">
        <f t="shared" si="4"/>
        <v>0</v>
      </c>
      <c r="G40" s="70">
        <f t="shared" si="5"/>
        <v>0</v>
      </c>
      <c r="H40" s="52">
        <f t="shared" si="6"/>
        <v>0</v>
      </c>
      <c r="I40" s="65">
        <f t="shared" si="7"/>
        <v>0</v>
      </c>
      <c r="J40" s="65"/>
      <c r="K40" s="132"/>
      <c r="L40" s="67">
        <f t="shared" si="0"/>
        <v>0</v>
      </c>
      <c r="M40" s="132"/>
      <c r="N40" s="67">
        <f t="shared" si="1"/>
        <v>0</v>
      </c>
      <c r="O40" s="67">
        <f t="shared" si="2"/>
        <v>0</v>
      </c>
      <c r="P40" s="4"/>
    </row>
    <row r="41" spans="2:16">
      <c r="B41" s="9" t="str">
        <f t="shared" si="8"/>
        <v/>
      </c>
      <c r="C41" s="62">
        <f>IF(D11="","-",+C40+1)</f>
        <v>2045</v>
      </c>
      <c r="D41" s="71">
        <f>IF(F40+SUM(E$17:E40)=D$10,F40,D$10-SUM(E$17:E40))</f>
        <v>0</v>
      </c>
      <c r="E41" s="69">
        <f t="shared" si="3"/>
        <v>0</v>
      </c>
      <c r="F41" s="68">
        <f t="shared" si="4"/>
        <v>0</v>
      </c>
      <c r="G41" s="70">
        <f t="shared" si="5"/>
        <v>0</v>
      </c>
      <c r="H41" s="52">
        <f t="shared" si="6"/>
        <v>0</v>
      </c>
      <c r="I41" s="65">
        <f t="shared" si="7"/>
        <v>0</v>
      </c>
      <c r="J41" s="65"/>
      <c r="K41" s="132"/>
      <c r="L41" s="67">
        <f t="shared" si="0"/>
        <v>0</v>
      </c>
      <c r="M41" s="132"/>
      <c r="N41" s="67">
        <f t="shared" si="1"/>
        <v>0</v>
      </c>
      <c r="O41" s="67">
        <f t="shared" si="2"/>
        <v>0</v>
      </c>
      <c r="P41" s="4"/>
    </row>
    <row r="42" spans="2:16">
      <c r="B42" s="9" t="str">
        <f t="shared" si="8"/>
        <v/>
      </c>
      <c r="C42" s="62">
        <f>IF(D11="","-",+C41+1)</f>
        <v>2046</v>
      </c>
      <c r="D42" s="71">
        <f>IF(F41+SUM(E$17:E41)=D$10,F41,D$10-SUM(E$17:E41))</f>
        <v>0</v>
      </c>
      <c r="E42" s="69">
        <f t="shared" si="3"/>
        <v>0</v>
      </c>
      <c r="F42" s="68">
        <f t="shared" si="4"/>
        <v>0</v>
      </c>
      <c r="G42" s="70">
        <f t="shared" si="5"/>
        <v>0</v>
      </c>
      <c r="H42" s="52">
        <f t="shared" si="6"/>
        <v>0</v>
      </c>
      <c r="I42" s="65">
        <f t="shared" si="7"/>
        <v>0</v>
      </c>
      <c r="J42" s="65"/>
      <c r="K42" s="132"/>
      <c r="L42" s="67">
        <f t="shared" si="0"/>
        <v>0</v>
      </c>
      <c r="M42" s="132"/>
      <c r="N42" s="67">
        <f t="shared" si="1"/>
        <v>0</v>
      </c>
      <c r="O42" s="67">
        <f t="shared" si="2"/>
        <v>0</v>
      </c>
      <c r="P42" s="4"/>
    </row>
    <row r="43" spans="2:16">
      <c r="B43" s="9" t="str">
        <f t="shared" si="8"/>
        <v/>
      </c>
      <c r="C43" s="62">
        <f>IF(D11="","-",+C42+1)</f>
        <v>2047</v>
      </c>
      <c r="D43" s="71">
        <f>IF(F42+SUM(E$17:E42)=D$10,F42,D$10-SUM(E$17:E42))</f>
        <v>0</v>
      </c>
      <c r="E43" s="69">
        <f t="shared" si="3"/>
        <v>0</v>
      </c>
      <c r="F43" s="68">
        <f t="shared" si="4"/>
        <v>0</v>
      </c>
      <c r="G43" s="70">
        <f t="shared" si="5"/>
        <v>0</v>
      </c>
      <c r="H43" s="52">
        <f t="shared" si="6"/>
        <v>0</v>
      </c>
      <c r="I43" s="65">
        <f t="shared" si="7"/>
        <v>0</v>
      </c>
      <c r="J43" s="65"/>
      <c r="K43" s="132"/>
      <c r="L43" s="67">
        <f t="shared" si="0"/>
        <v>0</v>
      </c>
      <c r="M43" s="132"/>
      <c r="N43" s="67">
        <f t="shared" si="1"/>
        <v>0</v>
      </c>
      <c r="O43" s="67">
        <f t="shared" si="2"/>
        <v>0</v>
      </c>
      <c r="P43" s="4"/>
    </row>
    <row r="44" spans="2:16">
      <c r="B44" s="9" t="str">
        <f t="shared" si="8"/>
        <v/>
      </c>
      <c r="C44" s="62">
        <f>IF(D11="","-",+C43+1)</f>
        <v>2048</v>
      </c>
      <c r="D44" s="71">
        <f>IF(F43+SUM(E$17:E43)=D$10,F43,D$10-SUM(E$17:E43))</f>
        <v>0</v>
      </c>
      <c r="E44" s="69">
        <f t="shared" si="3"/>
        <v>0</v>
      </c>
      <c r="F44" s="68">
        <f t="shared" si="4"/>
        <v>0</v>
      </c>
      <c r="G44" s="70">
        <f t="shared" si="5"/>
        <v>0</v>
      </c>
      <c r="H44" s="52">
        <f t="shared" si="6"/>
        <v>0</v>
      </c>
      <c r="I44" s="65">
        <f t="shared" si="7"/>
        <v>0</v>
      </c>
      <c r="J44" s="65"/>
      <c r="K44" s="132"/>
      <c r="L44" s="67">
        <f t="shared" si="0"/>
        <v>0</v>
      </c>
      <c r="M44" s="132"/>
      <c r="N44" s="67">
        <f t="shared" si="1"/>
        <v>0</v>
      </c>
      <c r="O44" s="67">
        <f t="shared" si="2"/>
        <v>0</v>
      </c>
      <c r="P44" s="4"/>
    </row>
    <row r="45" spans="2:16">
      <c r="B45" s="9" t="str">
        <f t="shared" si="8"/>
        <v/>
      </c>
      <c r="C45" s="62">
        <f>IF(D11="","-",+C44+1)</f>
        <v>2049</v>
      </c>
      <c r="D45" s="71">
        <f>IF(F44+SUM(E$17:E44)=D$10,F44,D$10-SUM(E$17:E44))</f>
        <v>0</v>
      </c>
      <c r="E45" s="69">
        <f t="shared" si="3"/>
        <v>0</v>
      </c>
      <c r="F45" s="68">
        <f t="shared" si="4"/>
        <v>0</v>
      </c>
      <c r="G45" s="70">
        <f t="shared" si="5"/>
        <v>0</v>
      </c>
      <c r="H45" s="52">
        <f t="shared" si="6"/>
        <v>0</v>
      </c>
      <c r="I45" s="65">
        <f t="shared" si="7"/>
        <v>0</v>
      </c>
      <c r="J45" s="65"/>
      <c r="K45" s="132"/>
      <c r="L45" s="67">
        <f t="shared" si="0"/>
        <v>0</v>
      </c>
      <c r="M45" s="132"/>
      <c r="N45" s="67">
        <f t="shared" si="1"/>
        <v>0</v>
      </c>
      <c r="O45" s="67">
        <f t="shared" si="2"/>
        <v>0</v>
      </c>
      <c r="P45" s="4"/>
    </row>
    <row r="46" spans="2:16">
      <c r="B46" s="9" t="str">
        <f t="shared" si="8"/>
        <v/>
      </c>
      <c r="C46" s="62">
        <f>IF(D11="","-",+C45+1)</f>
        <v>2050</v>
      </c>
      <c r="D46" s="71">
        <f>IF(F45+SUM(E$17:E45)=D$10,F45,D$10-SUM(E$17:E45))</f>
        <v>0</v>
      </c>
      <c r="E46" s="69">
        <f t="shared" si="3"/>
        <v>0</v>
      </c>
      <c r="F46" s="68">
        <f t="shared" si="4"/>
        <v>0</v>
      </c>
      <c r="G46" s="70">
        <f t="shared" si="5"/>
        <v>0</v>
      </c>
      <c r="H46" s="52">
        <f t="shared" si="6"/>
        <v>0</v>
      </c>
      <c r="I46" s="65">
        <f t="shared" si="7"/>
        <v>0</v>
      </c>
      <c r="J46" s="65"/>
      <c r="K46" s="132"/>
      <c r="L46" s="67">
        <f t="shared" si="0"/>
        <v>0</v>
      </c>
      <c r="M46" s="132"/>
      <c r="N46" s="67">
        <f t="shared" si="1"/>
        <v>0</v>
      </c>
      <c r="O46" s="67">
        <f t="shared" si="2"/>
        <v>0</v>
      </c>
      <c r="P46" s="4"/>
    </row>
    <row r="47" spans="2:16">
      <c r="B47" s="9" t="str">
        <f t="shared" si="8"/>
        <v/>
      </c>
      <c r="C47" s="62">
        <f>IF(D11="","-",+C46+1)</f>
        <v>2051</v>
      </c>
      <c r="D47" s="71">
        <f>IF(F46+SUM(E$17:E46)=D$10,F46,D$10-SUM(E$17:E46))</f>
        <v>0</v>
      </c>
      <c r="E47" s="69">
        <f t="shared" si="3"/>
        <v>0</v>
      </c>
      <c r="F47" s="68">
        <f t="shared" si="4"/>
        <v>0</v>
      </c>
      <c r="G47" s="70">
        <f t="shared" si="5"/>
        <v>0</v>
      </c>
      <c r="H47" s="52">
        <f t="shared" si="6"/>
        <v>0</v>
      </c>
      <c r="I47" s="65">
        <f t="shared" si="7"/>
        <v>0</v>
      </c>
      <c r="J47" s="65"/>
      <c r="K47" s="132"/>
      <c r="L47" s="67">
        <f t="shared" si="0"/>
        <v>0</v>
      </c>
      <c r="M47" s="132"/>
      <c r="N47" s="67">
        <f t="shared" si="1"/>
        <v>0</v>
      </c>
      <c r="O47" s="67">
        <f t="shared" si="2"/>
        <v>0</v>
      </c>
      <c r="P47" s="4"/>
    </row>
    <row r="48" spans="2:16">
      <c r="B48" s="9" t="str">
        <f t="shared" si="8"/>
        <v/>
      </c>
      <c r="C48" s="62">
        <f>IF(D11="","-",+C47+1)</f>
        <v>2052</v>
      </c>
      <c r="D48" s="71">
        <f>IF(F47+SUM(E$17:E47)=D$10,F47,D$10-SUM(E$17:E47))</f>
        <v>0</v>
      </c>
      <c r="E48" s="69">
        <f t="shared" si="3"/>
        <v>0</v>
      </c>
      <c r="F48" s="68">
        <f t="shared" si="4"/>
        <v>0</v>
      </c>
      <c r="G48" s="70">
        <f t="shared" si="5"/>
        <v>0</v>
      </c>
      <c r="H48" s="52">
        <f t="shared" si="6"/>
        <v>0</v>
      </c>
      <c r="I48" s="65">
        <f t="shared" si="7"/>
        <v>0</v>
      </c>
      <c r="J48" s="65"/>
      <c r="K48" s="132"/>
      <c r="L48" s="67">
        <f t="shared" si="0"/>
        <v>0</v>
      </c>
      <c r="M48" s="132"/>
      <c r="N48" s="67">
        <f t="shared" si="1"/>
        <v>0</v>
      </c>
      <c r="O48" s="67">
        <f t="shared" si="2"/>
        <v>0</v>
      </c>
      <c r="P48" s="4"/>
    </row>
    <row r="49" spans="2:16">
      <c r="B49" s="9" t="str">
        <f t="shared" si="8"/>
        <v/>
      </c>
      <c r="C49" s="62">
        <f>IF(D11="","-",+C48+1)</f>
        <v>2053</v>
      </c>
      <c r="D49" s="71">
        <f>IF(F48+SUM(E$17:E48)=D$10,F48,D$10-SUM(E$17:E48))</f>
        <v>0</v>
      </c>
      <c r="E49" s="69">
        <f t="shared" si="3"/>
        <v>0</v>
      </c>
      <c r="F49" s="68">
        <f t="shared" si="4"/>
        <v>0</v>
      </c>
      <c r="G49" s="70">
        <f t="shared" si="5"/>
        <v>0</v>
      </c>
      <c r="H49" s="52">
        <f t="shared" si="6"/>
        <v>0</v>
      </c>
      <c r="I49" s="65">
        <f t="shared" si="7"/>
        <v>0</v>
      </c>
      <c r="J49" s="65"/>
      <c r="K49" s="132"/>
      <c r="L49" s="67">
        <f t="shared" si="0"/>
        <v>0</v>
      </c>
      <c r="M49" s="132"/>
      <c r="N49" s="67">
        <f t="shared" si="1"/>
        <v>0</v>
      </c>
      <c r="O49" s="67">
        <f t="shared" si="2"/>
        <v>0</v>
      </c>
      <c r="P49" s="4"/>
    </row>
    <row r="50" spans="2:16">
      <c r="B50" s="9" t="str">
        <f t="shared" si="8"/>
        <v/>
      </c>
      <c r="C50" s="62">
        <f>IF(D11="","-",+C49+1)</f>
        <v>2054</v>
      </c>
      <c r="D50" s="71">
        <f>IF(F49+SUM(E$17:E49)=D$10,F49,D$10-SUM(E$17:E49))</f>
        <v>0</v>
      </c>
      <c r="E50" s="69">
        <f t="shared" si="3"/>
        <v>0</v>
      </c>
      <c r="F50" s="68">
        <f t="shared" si="4"/>
        <v>0</v>
      </c>
      <c r="G50" s="70">
        <f t="shared" si="5"/>
        <v>0</v>
      </c>
      <c r="H50" s="52">
        <f t="shared" si="6"/>
        <v>0</v>
      </c>
      <c r="I50" s="65">
        <f t="shared" si="7"/>
        <v>0</v>
      </c>
      <c r="J50" s="65"/>
      <c r="K50" s="132"/>
      <c r="L50" s="67">
        <f t="shared" si="0"/>
        <v>0</v>
      </c>
      <c r="M50" s="132"/>
      <c r="N50" s="67">
        <f t="shared" si="1"/>
        <v>0</v>
      </c>
      <c r="O50" s="67">
        <f t="shared" si="2"/>
        <v>0</v>
      </c>
      <c r="P50" s="4"/>
    </row>
    <row r="51" spans="2:16">
      <c r="B51" s="9" t="str">
        <f t="shared" si="8"/>
        <v/>
      </c>
      <c r="C51" s="62">
        <f>IF(D11="","-",+C50+1)</f>
        <v>2055</v>
      </c>
      <c r="D51" s="71">
        <f>IF(F50+SUM(E$17:E50)=D$10,F50,D$10-SUM(E$17:E50))</f>
        <v>0</v>
      </c>
      <c r="E51" s="69">
        <f t="shared" si="3"/>
        <v>0</v>
      </c>
      <c r="F51" s="68">
        <f t="shared" si="4"/>
        <v>0</v>
      </c>
      <c r="G51" s="70">
        <f t="shared" si="5"/>
        <v>0</v>
      </c>
      <c r="H51" s="52">
        <f t="shared" si="6"/>
        <v>0</v>
      </c>
      <c r="I51" s="65">
        <f t="shared" si="7"/>
        <v>0</v>
      </c>
      <c r="J51" s="65"/>
      <c r="K51" s="132"/>
      <c r="L51" s="67">
        <f t="shared" si="0"/>
        <v>0</v>
      </c>
      <c r="M51" s="132"/>
      <c r="N51" s="67">
        <f t="shared" si="1"/>
        <v>0</v>
      </c>
      <c r="O51" s="67">
        <f t="shared" si="2"/>
        <v>0</v>
      </c>
      <c r="P51" s="4"/>
    </row>
    <row r="52" spans="2:16">
      <c r="B52" s="9" t="str">
        <f t="shared" si="8"/>
        <v/>
      </c>
      <c r="C52" s="62">
        <f>IF(D11="","-",+C51+1)</f>
        <v>2056</v>
      </c>
      <c r="D52" s="71">
        <f>IF(F51+SUM(E$17:E51)=D$10,F51,D$10-SUM(E$17:E51))</f>
        <v>0</v>
      </c>
      <c r="E52" s="69">
        <f t="shared" si="3"/>
        <v>0</v>
      </c>
      <c r="F52" s="68">
        <f t="shared" si="4"/>
        <v>0</v>
      </c>
      <c r="G52" s="70">
        <f t="shared" si="5"/>
        <v>0</v>
      </c>
      <c r="H52" s="52">
        <f t="shared" si="6"/>
        <v>0</v>
      </c>
      <c r="I52" s="65">
        <f t="shared" si="7"/>
        <v>0</v>
      </c>
      <c r="J52" s="65"/>
      <c r="K52" s="132"/>
      <c r="L52" s="67">
        <f t="shared" si="0"/>
        <v>0</v>
      </c>
      <c r="M52" s="132"/>
      <c r="N52" s="67">
        <f t="shared" si="1"/>
        <v>0</v>
      </c>
      <c r="O52" s="67">
        <f t="shared" si="2"/>
        <v>0</v>
      </c>
      <c r="P52" s="4"/>
    </row>
    <row r="53" spans="2:16">
      <c r="B53" s="9" t="str">
        <f t="shared" si="8"/>
        <v/>
      </c>
      <c r="C53" s="62">
        <f>IF(D11="","-",+C52+1)</f>
        <v>2057</v>
      </c>
      <c r="D53" s="71">
        <f>IF(F52+SUM(E$17:E52)=D$10,F52,D$10-SUM(E$17:E52))</f>
        <v>0</v>
      </c>
      <c r="E53" s="69">
        <f t="shared" si="3"/>
        <v>0</v>
      </c>
      <c r="F53" s="68">
        <f t="shared" si="4"/>
        <v>0</v>
      </c>
      <c r="G53" s="70">
        <f t="shared" si="5"/>
        <v>0</v>
      </c>
      <c r="H53" s="52">
        <f t="shared" si="6"/>
        <v>0</v>
      </c>
      <c r="I53" s="65">
        <f t="shared" si="7"/>
        <v>0</v>
      </c>
      <c r="J53" s="65"/>
      <c r="K53" s="132"/>
      <c r="L53" s="67">
        <f t="shared" si="0"/>
        <v>0</v>
      </c>
      <c r="M53" s="132"/>
      <c r="N53" s="67">
        <f t="shared" si="1"/>
        <v>0</v>
      </c>
      <c r="O53" s="67">
        <f t="shared" si="2"/>
        <v>0</v>
      </c>
      <c r="P53" s="4"/>
    </row>
    <row r="54" spans="2:16">
      <c r="B54" s="9" t="str">
        <f t="shared" si="8"/>
        <v/>
      </c>
      <c r="C54" s="62">
        <f>IF(D11="","-",+C53+1)</f>
        <v>2058</v>
      </c>
      <c r="D54" s="71">
        <f>IF(F53+SUM(E$17:E53)=D$10,F53,D$10-SUM(E$17:E53))</f>
        <v>0</v>
      </c>
      <c r="E54" s="69">
        <f t="shared" si="3"/>
        <v>0</v>
      </c>
      <c r="F54" s="68">
        <f t="shared" si="4"/>
        <v>0</v>
      </c>
      <c r="G54" s="70">
        <f t="shared" si="5"/>
        <v>0</v>
      </c>
      <c r="H54" s="52">
        <f t="shared" si="6"/>
        <v>0</v>
      </c>
      <c r="I54" s="65">
        <f t="shared" si="7"/>
        <v>0</v>
      </c>
      <c r="J54" s="65"/>
      <c r="K54" s="132"/>
      <c r="L54" s="67">
        <f t="shared" si="0"/>
        <v>0</v>
      </c>
      <c r="M54" s="132"/>
      <c r="N54" s="67">
        <f t="shared" si="1"/>
        <v>0</v>
      </c>
      <c r="O54" s="67">
        <f t="shared" si="2"/>
        <v>0</v>
      </c>
      <c r="P54" s="4"/>
    </row>
    <row r="55" spans="2:16">
      <c r="B55" s="9" t="str">
        <f t="shared" si="8"/>
        <v/>
      </c>
      <c r="C55" s="62">
        <f>IF(D11="","-",+C54+1)</f>
        <v>2059</v>
      </c>
      <c r="D55" s="71">
        <f>IF(F54+SUM(E$17:E54)=D$10,F54,D$10-SUM(E$17:E54))</f>
        <v>0</v>
      </c>
      <c r="E55" s="69">
        <f t="shared" si="3"/>
        <v>0</v>
      </c>
      <c r="F55" s="68">
        <f t="shared" si="4"/>
        <v>0</v>
      </c>
      <c r="G55" s="70">
        <f t="shared" si="5"/>
        <v>0</v>
      </c>
      <c r="H55" s="52">
        <f t="shared" si="6"/>
        <v>0</v>
      </c>
      <c r="I55" s="65">
        <f t="shared" si="7"/>
        <v>0</v>
      </c>
      <c r="J55" s="65"/>
      <c r="K55" s="132"/>
      <c r="L55" s="67">
        <f t="shared" si="0"/>
        <v>0</v>
      </c>
      <c r="M55" s="132"/>
      <c r="N55" s="67">
        <f t="shared" si="1"/>
        <v>0</v>
      </c>
      <c r="O55" s="67">
        <f t="shared" si="2"/>
        <v>0</v>
      </c>
      <c r="P55" s="4"/>
    </row>
    <row r="56" spans="2:16">
      <c r="B56" s="9" t="str">
        <f t="shared" si="8"/>
        <v/>
      </c>
      <c r="C56" s="62">
        <f>IF(D11="","-",+C55+1)</f>
        <v>2060</v>
      </c>
      <c r="D56" s="71">
        <f>IF(F55+SUM(E$17:E55)=D$10,F55,D$10-SUM(E$17:E55))</f>
        <v>0</v>
      </c>
      <c r="E56" s="69">
        <f t="shared" si="3"/>
        <v>0</v>
      </c>
      <c r="F56" s="68">
        <f t="shared" si="4"/>
        <v>0</v>
      </c>
      <c r="G56" s="70">
        <f t="shared" si="5"/>
        <v>0</v>
      </c>
      <c r="H56" s="52">
        <f t="shared" si="6"/>
        <v>0</v>
      </c>
      <c r="I56" s="65">
        <f t="shared" si="7"/>
        <v>0</v>
      </c>
      <c r="J56" s="65"/>
      <c r="K56" s="132"/>
      <c r="L56" s="67">
        <f t="shared" si="0"/>
        <v>0</v>
      </c>
      <c r="M56" s="132"/>
      <c r="N56" s="67">
        <f t="shared" si="1"/>
        <v>0</v>
      </c>
      <c r="O56" s="67">
        <f t="shared" si="2"/>
        <v>0</v>
      </c>
      <c r="P56" s="4"/>
    </row>
    <row r="57" spans="2:16">
      <c r="B57" s="9" t="str">
        <f t="shared" si="8"/>
        <v/>
      </c>
      <c r="C57" s="62">
        <f>IF(D11="","-",+C56+1)</f>
        <v>2061</v>
      </c>
      <c r="D57" s="71">
        <f>IF(F56+SUM(E$17:E56)=D$10,F56,D$10-SUM(E$17:E56))</f>
        <v>0</v>
      </c>
      <c r="E57" s="69">
        <f t="shared" si="3"/>
        <v>0</v>
      </c>
      <c r="F57" s="68">
        <f t="shared" si="4"/>
        <v>0</v>
      </c>
      <c r="G57" s="70">
        <f t="shared" si="5"/>
        <v>0</v>
      </c>
      <c r="H57" s="52">
        <f t="shared" si="6"/>
        <v>0</v>
      </c>
      <c r="I57" s="65">
        <f t="shared" si="7"/>
        <v>0</v>
      </c>
      <c r="J57" s="65"/>
      <c r="K57" s="132"/>
      <c r="L57" s="67">
        <f t="shared" si="0"/>
        <v>0</v>
      </c>
      <c r="M57" s="132"/>
      <c r="N57" s="67">
        <f t="shared" si="1"/>
        <v>0</v>
      </c>
      <c r="O57" s="67">
        <f t="shared" si="2"/>
        <v>0</v>
      </c>
      <c r="P57" s="4"/>
    </row>
    <row r="58" spans="2:16">
      <c r="B58" s="9" t="str">
        <f t="shared" si="8"/>
        <v/>
      </c>
      <c r="C58" s="62">
        <f>IF(D11="","-",+C57+1)</f>
        <v>2062</v>
      </c>
      <c r="D58" s="71">
        <f>IF(F57+SUM(E$17:E57)=D$10,F57,D$10-SUM(E$17:E57))</f>
        <v>0</v>
      </c>
      <c r="E58" s="69">
        <f t="shared" si="3"/>
        <v>0</v>
      </c>
      <c r="F58" s="68">
        <f t="shared" si="4"/>
        <v>0</v>
      </c>
      <c r="G58" s="70">
        <f t="shared" si="5"/>
        <v>0</v>
      </c>
      <c r="H58" s="52">
        <f t="shared" si="6"/>
        <v>0</v>
      </c>
      <c r="I58" s="65">
        <f t="shared" si="7"/>
        <v>0</v>
      </c>
      <c r="J58" s="65"/>
      <c r="K58" s="132"/>
      <c r="L58" s="67">
        <f t="shared" si="0"/>
        <v>0</v>
      </c>
      <c r="M58" s="132"/>
      <c r="N58" s="67">
        <f t="shared" si="1"/>
        <v>0</v>
      </c>
      <c r="O58" s="67">
        <f t="shared" si="2"/>
        <v>0</v>
      </c>
      <c r="P58" s="4"/>
    </row>
    <row r="59" spans="2:16">
      <c r="B59" s="9" t="str">
        <f t="shared" si="8"/>
        <v/>
      </c>
      <c r="C59" s="62">
        <f>IF(D11="","-",+C58+1)</f>
        <v>2063</v>
      </c>
      <c r="D59" s="71">
        <f>IF(F58+SUM(E$17:E58)=D$10,F58,D$10-SUM(E$17:E58))</f>
        <v>0</v>
      </c>
      <c r="E59" s="69">
        <f t="shared" si="3"/>
        <v>0</v>
      </c>
      <c r="F59" s="68">
        <f t="shared" si="4"/>
        <v>0</v>
      </c>
      <c r="G59" s="70">
        <f t="shared" si="5"/>
        <v>0</v>
      </c>
      <c r="H59" s="52">
        <f t="shared" si="6"/>
        <v>0</v>
      </c>
      <c r="I59" s="65">
        <f t="shared" si="7"/>
        <v>0</v>
      </c>
      <c r="J59" s="65"/>
      <c r="K59" s="132"/>
      <c r="L59" s="67">
        <f t="shared" si="0"/>
        <v>0</v>
      </c>
      <c r="M59" s="132"/>
      <c r="N59" s="67">
        <f t="shared" si="1"/>
        <v>0</v>
      </c>
      <c r="O59" s="67">
        <f t="shared" si="2"/>
        <v>0</v>
      </c>
      <c r="P59" s="4"/>
    </row>
    <row r="60" spans="2:16">
      <c r="B60" s="9" t="str">
        <f t="shared" si="8"/>
        <v/>
      </c>
      <c r="C60" s="62">
        <f>IF(D11="","-",+C59+1)</f>
        <v>2064</v>
      </c>
      <c r="D60" s="71">
        <f>IF(F59+SUM(E$17:E59)=D$10,F59,D$10-SUM(E$17:E59))</f>
        <v>0</v>
      </c>
      <c r="E60" s="69">
        <f t="shared" si="3"/>
        <v>0</v>
      </c>
      <c r="F60" s="68">
        <f t="shared" si="4"/>
        <v>0</v>
      </c>
      <c r="G60" s="70">
        <f t="shared" si="5"/>
        <v>0</v>
      </c>
      <c r="H60" s="52">
        <f t="shared" si="6"/>
        <v>0</v>
      </c>
      <c r="I60" s="65">
        <f t="shared" si="7"/>
        <v>0</v>
      </c>
      <c r="J60" s="65"/>
      <c r="K60" s="132"/>
      <c r="L60" s="67">
        <f t="shared" si="0"/>
        <v>0</v>
      </c>
      <c r="M60" s="132"/>
      <c r="N60" s="67">
        <f t="shared" si="1"/>
        <v>0</v>
      </c>
      <c r="O60" s="67">
        <f t="shared" si="2"/>
        <v>0</v>
      </c>
      <c r="P60" s="4"/>
    </row>
    <row r="61" spans="2:16">
      <c r="B61" s="9" t="str">
        <f t="shared" si="8"/>
        <v/>
      </c>
      <c r="C61" s="62">
        <f>IF(D11="","-",+C60+1)</f>
        <v>2065</v>
      </c>
      <c r="D61" s="71">
        <f>IF(F60+SUM(E$17:E60)=D$10,F60,D$10-SUM(E$17:E60))</f>
        <v>0</v>
      </c>
      <c r="E61" s="69">
        <f t="shared" si="3"/>
        <v>0</v>
      </c>
      <c r="F61" s="68">
        <f t="shared" si="4"/>
        <v>0</v>
      </c>
      <c r="G61" s="70">
        <f t="shared" si="5"/>
        <v>0</v>
      </c>
      <c r="H61" s="52">
        <f t="shared" si="6"/>
        <v>0</v>
      </c>
      <c r="I61" s="65">
        <f t="shared" si="7"/>
        <v>0</v>
      </c>
      <c r="J61" s="65"/>
      <c r="K61" s="132"/>
      <c r="L61" s="67">
        <f t="shared" si="0"/>
        <v>0</v>
      </c>
      <c r="M61" s="132"/>
      <c r="N61" s="67">
        <f t="shared" si="1"/>
        <v>0</v>
      </c>
      <c r="O61" s="67">
        <f t="shared" si="2"/>
        <v>0</v>
      </c>
      <c r="P61" s="4"/>
    </row>
    <row r="62" spans="2:16">
      <c r="B62" s="9" t="str">
        <f t="shared" si="8"/>
        <v/>
      </c>
      <c r="C62" s="62">
        <f>IF(D11="","-",+C61+1)</f>
        <v>2066</v>
      </c>
      <c r="D62" s="71">
        <f>IF(F61+SUM(E$17:E61)=D$10,F61,D$10-SUM(E$17:E61))</f>
        <v>0</v>
      </c>
      <c r="E62" s="69">
        <f t="shared" si="3"/>
        <v>0</v>
      </c>
      <c r="F62" s="68">
        <f t="shared" si="4"/>
        <v>0</v>
      </c>
      <c r="G62" s="70">
        <f t="shared" si="5"/>
        <v>0</v>
      </c>
      <c r="H62" s="52">
        <f t="shared" si="6"/>
        <v>0</v>
      </c>
      <c r="I62" s="65">
        <f t="shared" si="7"/>
        <v>0</v>
      </c>
      <c r="J62" s="65"/>
      <c r="K62" s="132"/>
      <c r="L62" s="67">
        <f t="shared" si="0"/>
        <v>0</v>
      </c>
      <c r="M62" s="132"/>
      <c r="N62" s="67">
        <f t="shared" si="1"/>
        <v>0</v>
      </c>
      <c r="O62" s="67">
        <f t="shared" si="2"/>
        <v>0</v>
      </c>
      <c r="P62" s="4"/>
    </row>
    <row r="63" spans="2:16">
      <c r="B63" s="9" t="str">
        <f t="shared" si="8"/>
        <v/>
      </c>
      <c r="C63" s="62">
        <f>IF(D11="","-",+C62+1)</f>
        <v>2067</v>
      </c>
      <c r="D63" s="71">
        <f>IF(F62+SUM(E$17:E62)=D$10,F62,D$10-SUM(E$17:E62))</f>
        <v>0</v>
      </c>
      <c r="E63" s="69">
        <f t="shared" si="3"/>
        <v>0</v>
      </c>
      <c r="F63" s="68">
        <f t="shared" si="4"/>
        <v>0</v>
      </c>
      <c r="G63" s="70">
        <f t="shared" si="5"/>
        <v>0</v>
      </c>
      <c r="H63" s="52">
        <f t="shared" si="6"/>
        <v>0</v>
      </c>
      <c r="I63" s="65">
        <f t="shared" si="7"/>
        <v>0</v>
      </c>
      <c r="J63" s="65"/>
      <c r="K63" s="132"/>
      <c r="L63" s="67">
        <f t="shared" si="0"/>
        <v>0</v>
      </c>
      <c r="M63" s="132"/>
      <c r="N63" s="67">
        <f t="shared" si="1"/>
        <v>0</v>
      </c>
      <c r="O63" s="67">
        <f t="shared" si="2"/>
        <v>0</v>
      </c>
      <c r="P63" s="4"/>
    </row>
    <row r="64" spans="2:16">
      <c r="B64" s="9" t="str">
        <f t="shared" si="8"/>
        <v/>
      </c>
      <c r="C64" s="62">
        <f>IF(D11="","-",+C63+1)</f>
        <v>2068</v>
      </c>
      <c r="D64" s="71">
        <f>IF(F63+SUM(E$17:E63)=D$10,F63,D$10-SUM(E$17:E63))</f>
        <v>0</v>
      </c>
      <c r="E64" s="69">
        <f t="shared" si="3"/>
        <v>0</v>
      </c>
      <c r="F64" s="68">
        <f t="shared" si="4"/>
        <v>0</v>
      </c>
      <c r="G64" s="70">
        <f t="shared" si="5"/>
        <v>0</v>
      </c>
      <c r="H64" s="52">
        <f t="shared" si="6"/>
        <v>0</v>
      </c>
      <c r="I64" s="65">
        <f t="shared" si="7"/>
        <v>0</v>
      </c>
      <c r="J64" s="65"/>
      <c r="K64" s="132"/>
      <c r="L64" s="67">
        <f t="shared" si="0"/>
        <v>0</v>
      </c>
      <c r="M64" s="132"/>
      <c r="N64" s="67">
        <f t="shared" si="1"/>
        <v>0</v>
      </c>
      <c r="O64" s="67">
        <f t="shared" si="2"/>
        <v>0</v>
      </c>
      <c r="P64" s="4"/>
    </row>
    <row r="65" spans="2:16">
      <c r="B65" s="9" t="str">
        <f t="shared" si="8"/>
        <v/>
      </c>
      <c r="C65" s="62">
        <f>IF(D11="","-",+C64+1)</f>
        <v>2069</v>
      </c>
      <c r="D65" s="71">
        <f>IF(F64+SUM(E$17:E64)=D$10,F64,D$10-SUM(E$17:E64))</f>
        <v>0</v>
      </c>
      <c r="E65" s="69">
        <f t="shared" si="3"/>
        <v>0</v>
      </c>
      <c r="F65" s="68">
        <f t="shared" si="4"/>
        <v>0</v>
      </c>
      <c r="G65" s="70">
        <f t="shared" si="5"/>
        <v>0</v>
      </c>
      <c r="H65" s="52">
        <f t="shared" si="6"/>
        <v>0</v>
      </c>
      <c r="I65" s="65">
        <f t="shared" si="7"/>
        <v>0</v>
      </c>
      <c r="J65" s="65"/>
      <c r="K65" s="132"/>
      <c r="L65" s="67">
        <f t="shared" si="0"/>
        <v>0</v>
      </c>
      <c r="M65" s="132"/>
      <c r="N65" s="67">
        <f t="shared" si="1"/>
        <v>0</v>
      </c>
      <c r="O65" s="67">
        <f t="shared" si="2"/>
        <v>0</v>
      </c>
      <c r="P65" s="4"/>
    </row>
    <row r="66" spans="2:16">
      <c r="B66" s="9" t="str">
        <f t="shared" si="8"/>
        <v/>
      </c>
      <c r="C66" s="62">
        <f>IF(D11="","-",+C65+1)</f>
        <v>2070</v>
      </c>
      <c r="D66" s="71">
        <f>IF(F65+SUM(E$17:E65)=D$10,F65,D$10-SUM(E$17:E65))</f>
        <v>0</v>
      </c>
      <c r="E66" s="69">
        <f t="shared" si="3"/>
        <v>0</v>
      </c>
      <c r="F66" s="68">
        <f t="shared" si="4"/>
        <v>0</v>
      </c>
      <c r="G66" s="70">
        <f t="shared" si="5"/>
        <v>0</v>
      </c>
      <c r="H66" s="52">
        <f t="shared" si="6"/>
        <v>0</v>
      </c>
      <c r="I66" s="65">
        <f t="shared" si="7"/>
        <v>0</v>
      </c>
      <c r="J66" s="65"/>
      <c r="K66" s="132"/>
      <c r="L66" s="67">
        <f t="shared" si="0"/>
        <v>0</v>
      </c>
      <c r="M66" s="132"/>
      <c r="N66" s="67">
        <f t="shared" si="1"/>
        <v>0</v>
      </c>
      <c r="O66" s="67">
        <f t="shared" si="2"/>
        <v>0</v>
      </c>
      <c r="P66" s="4"/>
    </row>
    <row r="67" spans="2:16">
      <c r="B67" s="9" t="str">
        <f t="shared" si="8"/>
        <v/>
      </c>
      <c r="C67" s="62">
        <f>IF(D11="","-",+C66+1)</f>
        <v>2071</v>
      </c>
      <c r="D67" s="71">
        <f>IF(F66+SUM(E$17:E66)=D$10,F66,D$10-SUM(E$17:E66))</f>
        <v>0</v>
      </c>
      <c r="E67" s="69">
        <f t="shared" si="3"/>
        <v>0</v>
      </c>
      <c r="F67" s="68">
        <f t="shared" si="4"/>
        <v>0</v>
      </c>
      <c r="G67" s="70">
        <f t="shared" si="5"/>
        <v>0</v>
      </c>
      <c r="H67" s="52">
        <f t="shared" si="6"/>
        <v>0</v>
      </c>
      <c r="I67" s="65">
        <f t="shared" si="7"/>
        <v>0</v>
      </c>
      <c r="J67" s="65"/>
      <c r="K67" s="132"/>
      <c r="L67" s="67">
        <f t="shared" si="0"/>
        <v>0</v>
      </c>
      <c r="M67" s="132"/>
      <c r="N67" s="67">
        <f t="shared" si="1"/>
        <v>0</v>
      </c>
      <c r="O67" s="67">
        <f t="shared" si="2"/>
        <v>0</v>
      </c>
      <c r="P67" s="4"/>
    </row>
    <row r="68" spans="2:16">
      <c r="B68" s="9" t="str">
        <f t="shared" si="8"/>
        <v/>
      </c>
      <c r="C68" s="62">
        <f>IF(D11="","-",+C67+1)</f>
        <v>2072</v>
      </c>
      <c r="D68" s="71">
        <f>IF(F67+SUM(E$17:E67)=D$10,F67,D$10-SUM(E$17:E67))</f>
        <v>0</v>
      </c>
      <c r="E68" s="69">
        <f t="shared" si="3"/>
        <v>0</v>
      </c>
      <c r="F68" s="68">
        <f t="shared" si="4"/>
        <v>0</v>
      </c>
      <c r="G68" s="70">
        <f t="shared" si="5"/>
        <v>0</v>
      </c>
      <c r="H68" s="52">
        <f t="shared" si="6"/>
        <v>0</v>
      </c>
      <c r="I68" s="65">
        <f t="shared" si="7"/>
        <v>0</v>
      </c>
      <c r="J68" s="65"/>
      <c r="K68" s="132"/>
      <c r="L68" s="67">
        <f t="shared" si="0"/>
        <v>0</v>
      </c>
      <c r="M68" s="132"/>
      <c r="N68" s="67">
        <f t="shared" si="1"/>
        <v>0</v>
      </c>
      <c r="O68" s="67">
        <f t="shared" si="2"/>
        <v>0</v>
      </c>
      <c r="P68" s="4"/>
    </row>
    <row r="69" spans="2:16">
      <c r="B69" s="9" t="str">
        <f t="shared" si="8"/>
        <v/>
      </c>
      <c r="C69" s="62">
        <f>IF(D11="","-",+C68+1)</f>
        <v>2073</v>
      </c>
      <c r="D69" s="71">
        <f>IF(F68+SUM(E$17:E68)=D$10,F68,D$10-SUM(E$17:E68))</f>
        <v>0</v>
      </c>
      <c r="E69" s="69">
        <f t="shared" si="3"/>
        <v>0</v>
      </c>
      <c r="F69" s="68">
        <f t="shared" si="4"/>
        <v>0</v>
      </c>
      <c r="G69" s="70">
        <f t="shared" si="5"/>
        <v>0</v>
      </c>
      <c r="H69" s="52">
        <f t="shared" si="6"/>
        <v>0</v>
      </c>
      <c r="I69" s="65">
        <f t="shared" si="7"/>
        <v>0</v>
      </c>
      <c r="J69" s="65"/>
      <c r="K69" s="132"/>
      <c r="L69" s="67">
        <f t="shared" si="0"/>
        <v>0</v>
      </c>
      <c r="M69" s="132"/>
      <c r="N69" s="67">
        <f t="shared" si="1"/>
        <v>0</v>
      </c>
      <c r="O69" s="67">
        <f t="shared" si="2"/>
        <v>0</v>
      </c>
      <c r="P69" s="4"/>
    </row>
    <row r="70" spans="2:16">
      <c r="B70" s="9" t="str">
        <f t="shared" si="8"/>
        <v/>
      </c>
      <c r="C70" s="62">
        <f>IF(D11="","-",+C69+1)</f>
        <v>2074</v>
      </c>
      <c r="D70" s="71">
        <f>IF(F69+SUM(E$17:E69)=D$10,F69,D$10-SUM(E$17:E69))</f>
        <v>0</v>
      </c>
      <c r="E70" s="69">
        <f t="shared" si="3"/>
        <v>0</v>
      </c>
      <c r="F70" s="68">
        <f t="shared" si="4"/>
        <v>0</v>
      </c>
      <c r="G70" s="70">
        <f t="shared" si="5"/>
        <v>0</v>
      </c>
      <c r="H70" s="52">
        <f t="shared" si="6"/>
        <v>0</v>
      </c>
      <c r="I70" s="65">
        <f t="shared" si="7"/>
        <v>0</v>
      </c>
      <c r="J70" s="65"/>
      <c r="K70" s="132"/>
      <c r="L70" s="67">
        <f t="shared" si="0"/>
        <v>0</v>
      </c>
      <c r="M70" s="132"/>
      <c r="N70" s="67">
        <f t="shared" si="1"/>
        <v>0</v>
      </c>
      <c r="O70" s="67">
        <f t="shared" si="2"/>
        <v>0</v>
      </c>
      <c r="P70" s="4"/>
    </row>
    <row r="71" spans="2:16">
      <c r="B71" s="9" t="str">
        <f t="shared" si="8"/>
        <v/>
      </c>
      <c r="C71" s="62">
        <f>IF(D11="","-",+C70+1)</f>
        <v>2075</v>
      </c>
      <c r="D71" s="71">
        <f>IF(F70+SUM(E$17:E70)=D$10,F70,D$10-SUM(E$17:E70))</f>
        <v>0</v>
      </c>
      <c r="E71" s="69">
        <f t="shared" si="3"/>
        <v>0</v>
      </c>
      <c r="F71" s="68">
        <f t="shared" si="4"/>
        <v>0</v>
      </c>
      <c r="G71" s="70">
        <f t="shared" si="5"/>
        <v>0</v>
      </c>
      <c r="H71" s="52">
        <f t="shared" si="6"/>
        <v>0</v>
      </c>
      <c r="I71" s="65">
        <f t="shared" si="7"/>
        <v>0</v>
      </c>
      <c r="J71" s="65"/>
      <c r="K71" s="132"/>
      <c r="L71" s="67">
        <f t="shared" si="0"/>
        <v>0</v>
      </c>
      <c r="M71" s="132"/>
      <c r="N71" s="67">
        <f t="shared" si="1"/>
        <v>0</v>
      </c>
      <c r="O71" s="67">
        <f t="shared" si="2"/>
        <v>0</v>
      </c>
      <c r="P71" s="4"/>
    </row>
    <row r="72" spans="2:16" ht="13.5" thickBot="1">
      <c r="B72" s="9" t="str">
        <f t="shared" si="8"/>
        <v/>
      </c>
      <c r="C72" s="72">
        <f>IF(D11="","-",+C71+1)</f>
        <v>2076</v>
      </c>
      <c r="D72" s="147">
        <f>IF(F71+SUM(E$17:E71)=D$10,F71,D$10-SUM(E$17:E71))</f>
        <v>0</v>
      </c>
      <c r="E72" s="74">
        <f>IF(+I$14&lt;F71,I$14,D72)</f>
        <v>0</v>
      </c>
      <c r="F72" s="73">
        <f>+D72-E72</f>
        <v>0</v>
      </c>
      <c r="G72" s="146">
        <f>(D72+F72)/2*I$12+E72</f>
        <v>0</v>
      </c>
      <c r="H72" s="35">
        <f>+(D72+F72)/2*I$13+E72</f>
        <v>0</v>
      </c>
      <c r="I72" s="75">
        <f>H72-G72</f>
        <v>0</v>
      </c>
      <c r="J72" s="65"/>
      <c r="K72" s="133"/>
      <c r="L72" s="76">
        <f t="shared" si="0"/>
        <v>0</v>
      </c>
      <c r="M72" s="133"/>
      <c r="N72" s="76">
        <f t="shared" si="1"/>
        <v>0</v>
      </c>
      <c r="O72" s="76">
        <f t="shared" si="2"/>
        <v>0</v>
      </c>
      <c r="P72" s="4"/>
    </row>
    <row r="73" spans="2:16">
      <c r="C73" s="63" t="s">
        <v>77</v>
      </c>
      <c r="D73" s="20"/>
      <c r="E73" s="20">
        <f>SUM(E17:E72)</f>
        <v>0</v>
      </c>
      <c r="F73" s="20"/>
      <c r="G73" s="20">
        <f>SUM(G17:G72)</f>
        <v>0</v>
      </c>
      <c r="H73" s="20">
        <f>SUM(H17:H72)</f>
        <v>0</v>
      </c>
      <c r="I73" s="20">
        <f>SUM(I17:I72)</f>
        <v>0</v>
      </c>
      <c r="J73" s="20"/>
      <c r="K73" s="20"/>
      <c r="L73" s="20"/>
      <c r="M73" s="20"/>
      <c r="N73" s="20"/>
      <c r="O73" s="4"/>
      <c r="P73" s="4"/>
    </row>
    <row r="74" spans="2:16">
      <c r="D74" s="2"/>
      <c r="E74" s="1"/>
      <c r="F74" s="1"/>
      <c r="G74" s="1"/>
      <c r="H74" s="3"/>
      <c r="I74" s="3"/>
      <c r="J74" s="20"/>
      <c r="K74" s="3"/>
      <c r="L74" s="3"/>
      <c r="M74" s="3"/>
      <c r="N74" s="3"/>
      <c r="O74" s="1"/>
      <c r="P74" s="1"/>
    </row>
    <row r="75" spans="2:16">
      <c r="C75" s="77" t="s">
        <v>106</v>
      </c>
      <c r="D75" s="2"/>
      <c r="E75" s="1"/>
      <c r="F75" s="1"/>
      <c r="G75" s="1"/>
      <c r="H75" s="3"/>
      <c r="I75" s="3"/>
      <c r="J75" s="20"/>
      <c r="K75" s="3"/>
      <c r="L75" s="3"/>
      <c r="M75" s="3"/>
      <c r="N75" s="3"/>
      <c r="O75" s="1"/>
      <c r="P75" s="1"/>
    </row>
    <row r="76" spans="2:16">
      <c r="C76" s="32" t="s">
        <v>78</v>
      </c>
      <c r="D76" s="2"/>
      <c r="E76" s="1"/>
      <c r="F76" s="1"/>
      <c r="G76" s="1"/>
      <c r="H76" s="3"/>
      <c r="I76" s="3"/>
      <c r="J76" s="20"/>
      <c r="K76" s="3"/>
      <c r="L76" s="3"/>
      <c r="M76" s="3"/>
      <c r="N76" s="3"/>
      <c r="O76" s="4"/>
      <c r="P76" s="4"/>
    </row>
    <row r="77" spans="2:16">
      <c r="C77" s="32" t="s">
        <v>79</v>
      </c>
      <c r="D77" s="63"/>
      <c r="E77" s="63"/>
      <c r="F77" s="63"/>
      <c r="G77" s="20"/>
      <c r="H77" s="20"/>
      <c r="I77" s="78"/>
      <c r="J77" s="78"/>
      <c r="K77" s="78"/>
      <c r="L77" s="78"/>
      <c r="M77" s="78"/>
      <c r="N77" s="78"/>
      <c r="O77" s="4"/>
      <c r="P77" s="4"/>
    </row>
    <row r="78" spans="2:16">
      <c r="C78" s="32"/>
      <c r="D78" s="63"/>
      <c r="E78" s="63"/>
      <c r="F78" s="63"/>
      <c r="G78" s="20"/>
      <c r="H78" s="20"/>
      <c r="I78" s="78"/>
      <c r="J78" s="78"/>
      <c r="K78" s="78"/>
      <c r="L78" s="78"/>
      <c r="M78" s="78"/>
      <c r="N78" s="78"/>
      <c r="O78" s="4"/>
      <c r="P78" s="1"/>
    </row>
    <row r="79" spans="2:16">
      <c r="B79" s="1"/>
      <c r="C79" s="10"/>
      <c r="D79" s="2"/>
      <c r="E79" s="1"/>
      <c r="F79" s="18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109"/>
      <c r="D80" s="2"/>
      <c r="E80" s="1"/>
      <c r="F80" s="18"/>
      <c r="G80" s="1"/>
      <c r="H80" s="3"/>
      <c r="I80" s="1"/>
      <c r="J80" s="4"/>
      <c r="K80" s="1"/>
      <c r="L80" s="1"/>
      <c r="M80" s="1"/>
      <c r="N80" s="1"/>
      <c r="P80" s="111" t="s">
        <v>144</v>
      </c>
    </row>
    <row r="81" spans="1:16">
      <c r="B81" s="1"/>
      <c r="C81" s="10"/>
      <c r="D81" s="2"/>
      <c r="E81" s="1"/>
      <c r="F81" s="18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10"/>
      <c r="D82" s="2"/>
      <c r="E82" s="1"/>
      <c r="F82" s="18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110" t="s">
        <v>146</v>
      </c>
      <c r="B83" s="1"/>
      <c r="C83" s="10"/>
      <c r="D83" s="2"/>
      <c r="E83" s="1"/>
      <c r="F83" s="15"/>
      <c r="G83" s="15"/>
      <c r="H83" s="1"/>
      <c r="I83" s="3"/>
      <c r="K83" s="7"/>
      <c r="L83" s="19"/>
      <c r="M83" s="19"/>
      <c r="P83" s="19" t="str">
        <f ca="1">P1</f>
        <v>PSO Project 29 of 29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117" t="s">
        <v>151</v>
      </c>
    </row>
    <row r="85" spans="1:16" ht="18.75" thickBot="1">
      <c r="B85" s="5" t="s">
        <v>42</v>
      </c>
      <c r="C85" s="80" t="s">
        <v>91</v>
      </c>
      <c r="D85" s="2"/>
      <c r="E85" s="1"/>
      <c r="F85" s="1"/>
      <c r="G85" s="1"/>
      <c r="H85" s="1"/>
      <c r="I85" s="3"/>
      <c r="J85" s="3"/>
      <c r="K85" s="20"/>
      <c r="L85" s="3"/>
      <c r="M85" s="3"/>
      <c r="N85" s="3"/>
      <c r="O85" s="20"/>
      <c r="P85" s="1"/>
    </row>
    <row r="86" spans="1:16" ht="15.75" thickBot="1">
      <c r="C86" s="13"/>
      <c r="D86" s="2"/>
      <c r="E86" s="1"/>
      <c r="F86" s="1"/>
      <c r="G86" s="1"/>
      <c r="H86" s="1"/>
      <c r="I86" s="3"/>
      <c r="J86" s="3"/>
      <c r="K86" s="20"/>
      <c r="L86" s="118">
        <f>+J92</f>
        <v>2021</v>
      </c>
      <c r="M86" s="119" t="s">
        <v>8</v>
      </c>
      <c r="N86" s="120" t="s">
        <v>153</v>
      </c>
      <c r="O86" s="121" t="s">
        <v>10</v>
      </c>
      <c r="P86" s="1"/>
    </row>
    <row r="87" spans="1:16" ht="15">
      <c r="C87" s="107" t="s">
        <v>44</v>
      </c>
      <c r="D87" s="2"/>
      <c r="E87" s="1"/>
      <c r="F87" s="1"/>
      <c r="G87" s="1"/>
      <c r="H87" s="22"/>
      <c r="I87" s="1" t="s">
        <v>45</v>
      </c>
      <c r="J87" s="1"/>
      <c r="K87" s="122"/>
      <c r="L87" s="123" t="s">
        <v>154</v>
      </c>
      <c r="M87" s="81">
        <f>IF(J92&lt;D11,0,VLOOKUP(J92,C17:O72,9))</f>
        <v>0</v>
      </c>
      <c r="N87" s="81">
        <f>IF(J92&lt;D11,0,VLOOKUP(J92,C17:O72,11))</f>
        <v>0</v>
      </c>
      <c r="O87" s="82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27"/>
      <c r="J88" s="27"/>
      <c r="K88" s="124"/>
      <c r="L88" s="125" t="s">
        <v>155</v>
      </c>
      <c r="M88" s="83">
        <f>IF(J92&lt;D11,0,VLOOKUP(J92,C99:P154,6))</f>
        <v>68486.42007157256</v>
      </c>
      <c r="N88" s="83">
        <f>IF(J92&lt;D11,0,VLOOKUP(J92,C99:P154,7))</f>
        <v>68486.42007157256</v>
      </c>
      <c r="O88" s="84">
        <f>+N88-M88</f>
        <v>0</v>
      </c>
      <c r="P88" s="1"/>
    </row>
    <row r="89" spans="1:16" ht="13.5" thickBot="1">
      <c r="C89" s="32" t="s">
        <v>92</v>
      </c>
      <c r="D89" s="113" t="str">
        <f>+D7</f>
        <v>Tulsa SE - E 21st St Tap 138 kV</v>
      </c>
      <c r="E89" s="1"/>
      <c r="F89" s="1"/>
      <c r="G89" s="1"/>
      <c r="H89" s="1"/>
      <c r="I89" s="3"/>
      <c r="J89" s="3"/>
      <c r="K89" s="126"/>
      <c r="L89" s="127" t="s">
        <v>156</v>
      </c>
      <c r="M89" s="86">
        <f>+M88-M87</f>
        <v>68486.42007157256</v>
      </c>
      <c r="N89" s="86">
        <f>+N88-N87</f>
        <v>68486.42007157256</v>
      </c>
      <c r="O89" s="87">
        <f>+O88-O87</f>
        <v>0</v>
      </c>
      <c r="P89" s="1"/>
    </row>
    <row r="90" spans="1:16" ht="13.5" thickBot="1">
      <c r="C90" s="77"/>
      <c r="D90" s="79">
        <f>D8</f>
        <v>0</v>
      </c>
      <c r="E90" s="18"/>
      <c r="F90" s="18"/>
      <c r="G90" s="18"/>
      <c r="H90" s="37"/>
      <c r="I90" s="3"/>
      <c r="J90" s="3"/>
      <c r="K90" s="20"/>
      <c r="L90" s="3"/>
      <c r="M90" s="3"/>
      <c r="N90" s="3"/>
      <c r="O90" s="20"/>
      <c r="P90" s="1"/>
    </row>
    <row r="91" spans="1:16" ht="13.5" thickBot="1">
      <c r="A91" s="17"/>
      <c r="C91" s="88" t="s">
        <v>93</v>
      </c>
      <c r="D91" s="105" t="str">
        <f>+D9</f>
        <v>TP2020033004</v>
      </c>
      <c r="E91" s="89"/>
      <c r="F91" s="89"/>
      <c r="G91" s="89"/>
      <c r="H91" s="89"/>
      <c r="I91" s="89"/>
      <c r="J91" s="89"/>
      <c r="K91" s="90"/>
      <c r="P91" s="42"/>
    </row>
    <row r="92" spans="1:16">
      <c r="C92" s="145" t="s">
        <v>226</v>
      </c>
      <c r="D92" s="101">
        <v>1203704</v>
      </c>
      <c r="E92" s="10" t="s">
        <v>94</v>
      </c>
      <c r="H92" s="44"/>
      <c r="I92" s="44"/>
      <c r="J92" s="45">
        <f>+'PSO.WS.G.BPU.ATRR.True-up'!M16</f>
        <v>2021</v>
      </c>
      <c r="K92" s="41"/>
      <c r="L92" s="20" t="s">
        <v>95</v>
      </c>
      <c r="P92" s="4"/>
    </row>
    <row r="93" spans="1:16">
      <c r="C93" s="46" t="s">
        <v>53</v>
      </c>
      <c r="D93" s="102">
        <v>2021</v>
      </c>
      <c r="E93" s="46" t="s">
        <v>54</v>
      </c>
      <c r="F93" s="44"/>
      <c r="G93" s="44"/>
      <c r="J93" s="48">
        <f>IF(H87="",0,'PSO.WS.G.BPU.ATRR.True-up'!$F$13)</f>
        <v>0</v>
      </c>
      <c r="K93" s="49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46" t="s">
        <v>55</v>
      </c>
      <c r="D94" s="101">
        <v>11</v>
      </c>
      <c r="E94" s="46" t="s">
        <v>56</v>
      </c>
      <c r="F94" s="44"/>
      <c r="G94" s="44"/>
      <c r="J94" s="50">
        <f>'PSO.WS.G.BPU.ATRR.True-up'!$F$81</f>
        <v>0.11379279303146381</v>
      </c>
      <c r="K94" s="51"/>
      <c r="L94" t="s">
        <v>96</v>
      </c>
      <c r="P94" s="4"/>
    </row>
    <row r="95" spans="1:16">
      <c r="C95" s="46" t="s">
        <v>58</v>
      </c>
      <c r="D95" s="48">
        <f>'PSO.WS.G.BPU.ATRR.True-up'!F$93</f>
        <v>41</v>
      </c>
      <c r="E95" s="46" t="s">
        <v>59</v>
      </c>
      <c r="F95" s="44"/>
      <c r="G95" s="44"/>
      <c r="J95" s="50">
        <f>IF(H87="",J94,'PSO.WS.G.BPU.ATRR.True-up'!$F$80)</f>
        <v>0.11379279303146381</v>
      </c>
      <c r="K95" s="11"/>
      <c r="L95" s="20" t="s">
        <v>60</v>
      </c>
      <c r="M95" s="11"/>
      <c r="N95" s="11"/>
      <c r="O95" s="11"/>
      <c r="P95" s="4"/>
    </row>
    <row r="96" spans="1:16" ht="13.5" thickBot="1">
      <c r="C96" s="46" t="s">
        <v>61</v>
      </c>
      <c r="D96" s="103" t="str">
        <f>+D14</f>
        <v>No</v>
      </c>
      <c r="E96" s="85" t="s">
        <v>63</v>
      </c>
      <c r="F96" s="91"/>
      <c r="G96" s="91"/>
      <c r="H96" s="92"/>
      <c r="I96" s="92"/>
      <c r="J96" s="35">
        <f>IF(D92=0,0,ROUND(D92/D95,0))</f>
        <v>29359</v>
      </c>
      <c r="K96" s="20"/>
      <c r="L96" s="20"/>
      <c r="M96" s="20"/>
      <c r="N96" s="20"/>
      <c r="O96" s="20"/>
      <c r="P96" s="4"/>
    </row>
    <row r="97" spans="1:16" ht="38.25">
      <c r="A97" s="6"/>
      <c r="B97" s="6"/>
      <c r="C97" s="93" t="s">
        <v>50</v>
      </c>
      <c r="D97" s="94" t="s">
        <v>64</v>
      </c>
      <c r="E97" s="56" t="s">
        <v>65</v>
      </c>
      <c r="F97" s="56" t="s">
        <v>66</v>
      </c>
      <c r="G97" s="54" t="s">
        <v>97</v>
      </c>
      <c r="H97" s="144" t="s">
        <v>286</v>
      </c>
      <c r="I97" s="135" t="s">
        <v>287</v>
      </c>
      <c r="J97" s="93" t="s">
        <v>98</v>
      </c>
      <c r="K97" s="95"/>
      <c r="L97" s="56" t="s">
        <v>102</v>
      </c>
      <c r="M97" s="56" t="s">
        <v>99</v>
      </c>
      <c r="N97" s="56" t="s">
        <v>102</v>
      </c>
      <c r="O97" s="56" t="s">
        <v>99</v>
      </c>
      <c r="P97" s="56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128" t="s">
        <v>73</v>
      </c>
      <c r="I98" s="58" t="s">
        <v>74</v>
      </c>
      <c r="J98" s="59" t="s">
        <v>104</v>
      </c>
      <c r="K98" s="60"/>
      <c r="L98" s="61" t="s">
        <v>76</v>
      </c>
      <c r="M98" s="61" t="s">
        <v>76</v>
      </c>
      <c r="N98" s="61" t="s">
        <v>105</v>
      </c>
      <c r="O98" s="61" t="s">
        <v>105</v>
      </c>
      <c r="P98" s="61" t="s">
        <v>105</v>
      </c>
    </row>
    <row r="99" spans="1:16">
      <c r="C99" s="62">
        <f>IF(D93= "","-",D93)</f>
        <v>2021</v>
      </c>
      <c r="D99" s="63">
        <v>0</v>
      </c>
      <c r="E99" s="70">
        <f>IF(OR(D11=I10,D92&lt;100000),0,J$96/12*(12-D94))</f>
        <v>0</v>
      </c>
      <c r="F99" s="68">
        <f>IF(D93=C99,+D92-E99,+D99-E99)</f>
        <v>1203704</v>
      </c>
      <c r="G99" s="97">
        <f>+(F99+D99)/2</f>
        <v>601852</v>
      </c>
      <c r="H99" s="97">
        <f>+J$94*G99+E99</f>
        <v>68486.42007157256</v>
      </c>
      <c r="I99" s="97">
        <f>+J$95*G99+E99</f>
        <v>68486.42007157256</v>
      </c>
      <c r="J99" s="67">
        <f>+I99-H99</f>
        <v>0</v>
      </c>
      <c r="K99" s="67"/>
      <c r="L99" s="131"/>
      <c r="M99" s="66">
        <f t="shared" ref="M99:M130" si="9">IF(L99&lt;&gt;0,+H99-L99,0)</f>
        <v>0</v>
      </c>
      <c r="N99" s="131"/>
      <c r="O99" s="66">
        <f t="shared" ref="O99:O130" si="10">IF(N99&lt;&gt;0,+I99-N99,0)</f>
        <v>0</v>
      </c>
      <c r="P99" s="66">
        <f t="shared" ref="P99:P130" si="11">+O99-M99</f>
        <v>0</v>
      </c>
    </row>
    <row r="100" spans="1:16">
      <c r="B100" s="9" t="str">
        <f>IF(D100=F99,"","IU")</f>
        <v/>
      </c>
      <c r="C100" s="62">
        <f>IF(D93="","-",+C99+1)</f>
        <v>2022</v>
      </c>
      <c r="D100" s="63">
        <f>IF(F99+SUM(E$99:E99)=D$92,F99,D$92-SUM(E$99:E99))</f>
        <v>1203704</v>
      </c>
      <c r="E100" s="69">
        <f>IF(+J$96&lt;F99,J$96,D100)</f>
        <v>29359</v>
      </c>
      <c r="F100" s="68">
        <f>+D100-E100</f>
        <v>1174345</v>
      </c>
      <c r="G100" s="68">
        <f>+(F100+D100)/2</f>
        <v>1189024.5</v>
      </c>
      <c r="H100" s="130">
        <f t="shared" ref="H100:H154" si="12">+J$94*G100+E100</f>
        <v>164661.41883783974</v>
      </c>
      <c r="I100" s="139">
        <f t="shared" ref="I100:I154" si="13">+J$95*G100+E100</f>
        <v>164661.41883783974</v>
      </c>
      <c r="J100" s="67">
        <f t="shared" ref="J100:J130" si="14">+I100-H100</f>
        <v>0</v>
      </c>
      <c r="K100" s="67"/>
      <c r="L100" s="132"/>
      <c r="M100" s="67">
        <f t="shared" si="9"/>
        <v>0</v>
      </c>
      <c r="N100" s="132"/>
      <c r="O100" s="67">
        <f t="shared" si="10"/>
        <v>0</v>
      </c>
      <c r="P100" s="67">
        <f t="shared" si="11"/>
        <v>0</v>
      </c>
    </row>
    <row r="101" spans="1:16">
      <c r="B101" s="9" t="str">
        <f t="shared" ref="B101:B154" si="15">IF(D101=F100,"","IU")</f>
        <v/>
      </c>
      <c r="C101" s="62">
        <f>IF(D93="","-",+C100+1)</f>
        <v>2023</v>
      </c>
      <c r="D101" s="63">
        <f>IF(F100+SUM(E$99:E100)=D$92,F100,D$92-SUM(E$99:E100))</f>
        <v>1174345</v>
      </c>
      <c r="E101" s="69">
        <f t="shared" ref="E101:E154" si="16">IF(+J$96&lt;F100,J$96,D101)</f>
        <v>29359</v>
      </c>
      <c r="F101" s="68">
        <f t="shared" ref="F101:F154" si="17">+D101-E101</f>
        <v>1144986</v>
      </c>
      <c r="G101" s="68">
        <f t="shared" ref="G101:G154" si="18">+(F101+D101)/2</f>
        <v>1159665.5</v>
      </c>
      <c r="H101" s="130">
        <f t="shared" si="12"/>
        <v>161320.576227229</v>
      </c>
      <c r="I101" s="139">
        <f t="shared" si="13"/>
        <v>161320.576227229</v>
      </c>
      <c r="J101" s="67">
        <f t="shared" si="14"/>
        <v>0</v>
      </c>
      <c r="K101" s="67"/>
      <c r="L101" s="132"/>
      <c r="M101" s="67">
        <f t="shared" si="9"/>
        <v>0</v>
      </c>
      <c r="N101" s="132"/>
      <c r="O101" s="67">
        <f t="shared" si="10"/>
        <v>0</v>
      </c>
      <c r="P101" s="67">
        <f t="shared" si="11"/>
        <v>0</v>
      </c>
    </row>
    <row r="102" spans="1:16">
      <c r="B102" s="9" t="str">
        <f t="shared" si="15"/>
        <v/>
      </c>
      <c r="C102" s="62">
        <f>IF(D93="","-",+C101+1)</f>
        <v>2024</v>
      </c>
      <c r="D102" s="63">
        <f>IF(F101+SUM(E$99:E101)=D$92,F101,D$92-SUM(E$99:E101))</f>
        <v>1144986</v>
      </c>
      <c r="E102" s="69">
        <f t="shared" si="16"/>
        <v>29359</v>
      </c>
      <c r="F102" s="68">
        <f t="shared" si="17"/>
        <v>1115627</v>
      </c>
      <c r="G102" s="68">
        <f t="shared" si="18"/>
        <v>1130306.5</v>
      </c>
      <c r="H102" s="130">
        <f t="shared" si="12"/>
        <v>157979.73361661826</v>
      </c>
      <c r="I102" s="139">
        <f t="shared" si="13"/>
        <v>157979.73361661826</v>
      </c>
      <c r="J102" s="67">
        <f t="shared" si="14"/>
        <v>0</v>
      </c>
      <c r="K102" s="67"/>
      <c r="L102" s="132"/>
      <c r="M102" s="67">
        <f t="shared" si="9"/>
        <v>0</v>
      </c>
      <c r="N102" s="132"/>
      <c r="O102" s="67">
        <f t="shared" si="10"/>
        <v>0</v>
      </c>
      <c r="P102" s="67">
        <f t="shared" si="11"/>
        <v>0</v>
      </c>
    </row>
    <row r="103" spans="1:16">
      <c r="B103" s="9" t="str">
        <f t="shared" si="15"/>
        <v/>
      </c>
      <c r="C103" s="62">
        <f>IF(D93="","-",+C102+1)</f>
        <v>2025</v>
      </c>
      <c r="D103" s="63">
        <f>IF(F102+SUM(E$99:E102)=D$92,F102,D$92-SUM(E$99:E102))</f>
        <v>1115627</v>
      </c>
      <c r="E103" s="69">
        <f t="shared" si="16"/>
        <v>29359</v>
      </c>
      <c r="F103" s="68">
        <f t="shared" si="17"/>
        <v>1086268</v>
      </c>
      <c r="G103" s="68">
        <f t="shared" si="18"/>
        <v>1100947.5</v>
      </c>
      <c r="H103" s="130">
        <f t="shared" si="12"/>
        <v>154638.8910060075</v>
      </c>
      <c r="I103" s="139">
        <f t="shared" si="13"/>
        <v>154638.8910060075</v>
      </c>
      <c r="J103" s="67">
        <f t="shared" si="14"/>
        <v>0</v>
      </c>
      <c r="K103" s="67"/>
      <c r="L103" s="132"/>
      <c r="M103" s="67">
        <f t="shared" si="9"/>
        <v>0</v>
      </c>
      <c r="N103" s="132"/>
      <c r="O103" s="67">
        <f t="shared" si="10"/>
        <v>0</v>
      </c>
      <c r="P103" s="67">
        <f t="shared" si="11"/>
        <v>0</v>
      </c>
    </row>
    <row r="104" spans="1:16">
      <c r="B104" s="9" t="str">
        <f t="shared" si="15"/>
        <v/>
      </c>
      <c r="C104" s="62">
        <f>IF(D93="","-",+C103+1)</f>
        <v>2026</v>
      </c>
      <c r="D104" s="63">
        <f>IF(F103+SUM(E$99:E103)=D$92,F103,D$92-SUM(E$99:E103))</f>
        <v>1086268</v>
      </c>
      <c r="E104" s="69">
        <f t="shared" si="16"/>
        <v>29359</v>
      </c>
      <c r="F104" s="68">
        <f t="shared" si="17"/>
        <v>1056909</v>
      </c>
      <c r="G104" s="68">
        <f t="shared" si="18"/>
        <v>1071588.5</v>
      </c>
      <c r="H104" s="130">
        <f t="shared" si="12"/>
        <v>151298.04839539673</v>
      </c>
      <c r="I104" s="139">
        <f t="shared" si="13"/>
        <v>151298.04839539673</v>
      </c>
      <c r="J104" s="67">
        <f t="shared" si="14"/>
        <v>0</v>
      </c>
      <c r="K104" s="67"/>
      <c r="L104" s="132"/>
      <c r="M104" s="67">
        <f t="shared" si="9"/>
        <v>0</v>
      </c>
      <c r="N104" s="132"/>
      <c r="O104" s="67">
        <f t="shared" si="10"/>
        <v>0</v>
      </c>
      <c r="P104" s="67">
        <f t="shared" si="11"/>
        <v>0</v>
      </c>
    </row>
    <row r="105" spans="1:16">
      <c r="B105" s="9" t="str">
        <f t="shared" si="15"/>
        <v/>
      </c>
      <c r="C105" s="62">
        <f>IF(D93="","-",+C104+1)</f>
        <v>2027</v>
      </c>
      <c r="D105" s="63">
        <f>IF(F104+SUM(E$99:E104)=D$92,F104,D$92-SUM(E$99:E104))</f>
        <v>1056909</v>
      </c>
      <c r="E105" s="69">
        <f t="shared" si="16"/>
        <v>29359</v>
      </c>
      <c r="F105" s="68">
        <f t="shared" si="17"/>
        <v>1027550</v>
      </c>
      <c r="G105" s="68">
        <f t="shared" si="18"/>
        <v>1042229.5</v>
      </c>
      <c r="H105" s="130">
        <f t="shared" si="12"/>
        <v>147957.20578478603</v>
      </c>
      <c r="I105" s="139">
        <f t="shared" si="13"/>
        <v>147957.20578478603</v>
      </c>
      <c r="J105" s="67">
        <f t="shared" si="14"/>
        <v>0</v>
      </c>
      <c r="K105" s="67"/>
      <c r="L105" s="132"/>
      <c r="M105" s="67">
        <f t="shared" si="9"/>
        <v>0</v>
      </c>
      <c r="N105" s="132"/>
      <c r="O105" s="67">
        <f t="shared" si="10"/>
        <v>0</v>
      </c>
      <c r="P105" s="67">
        <f t="shared" si="11"/>
        <v>0</v>
      </c>
    </row>
    <row r="106" spans="1:16">
      <c r="B106" s="9" t="str">
        <f t="shared" si="15"/>
        <v/>
      </c>
      <c r="C106" s="62">
        <f>IF(D93="","-",+C105+1)</f>
        <v>2028</v>
      </c>
      <c r="D106" s="63">
        <f>IF(F105+SUM(E$99:E105)=D$92,F105,D$92-SUM(E$99:E105))</f>
        <v>1027550</v>
      </c>
      <c r="E106" s="69">
        <f t="shared" si="16"/>
        <v>29359</v>
      </c>
      <c r="F106" s="68">
        <f t="shared" si="17"/>
        <v>998191</v>
      </c>
      <c r="G106" s="68">
        <f t="shared" si="18"/>
        <v>1012870.5</v>
      </c>
      <c r="H106" s="130">
        <f t="shared" si="12"/>
        <v>144616.36317417526</v>
      </c>
      <c r="I106" s="139">
        <f t="shared" si="13"/>
        <v>144616.36317417526</v>
      </c>
      <c r="J106" s="67">
        <f t="shared" si="14"/>
        <v>0</v>
      </c>
      <c r="K106" s="67"/>
      <c r="L106" s="132"/>
      <c r="M106" s="67">
        <f t="shared" si="9"/>
        <v>0</v>
      </c>
      <c r="N106" s="132"/>
      <c r="O106" s="67">
        <f t="shared" si="10"/>
        <v>0</v>
      </c>
      <c r="P106" s="67">
        <f t="shared" si="11"/>
        <v>0</v>
      </c>
    </row>
    <row r="107" spans="1:16">
      <c r="B107" s="9" t="str">
        <f t="shared" si="15"/>
        <v/>
      </c>
      <c r="C107" s="62">
        <f>IF(D93="","-",+C106+1)</f>
        <v>2029</v>
      </c>
      <c r="D107" s="63">
        <f>IF(F106+SUM(E$99:E106)=D$92,F106,D$92-SUM(E$99:E106))</f>
        <v>998191</v>
      </c>
      <c r="E107" s="69">
        <f t="shared" si="16"/>
        <v>29359</v>
      </c>
      <c r="F107" s="68">
        <f t="shared" si="17"/>
        <v>968832</v>
      </c>
      <c r="G107" s="68">
        <f t="shared" si="18"/>
        <v>983511.5</v>
      </c>
      <c r="H107" s="130">
        <f t="shared" si="12"/>
        <v>141275.5205635645</v>
      </c>
      <c r="I107" s="139">
        <f t="shared" si="13"/>
        <v>141275.5205635645</v>
      </c>
      <c r="J107" s="67">
        <f t="shared" si="14"/>
        <v>0</v>
      </c>
      <c r="K107" s="67"/>
      <c r="L107" s="132"/>
      <c r="M107" s="67">
        <f t="shared" si="9"/>
        <v>0</v>
      </c>
      <c r="N107" s="132"/>
      <c r="O107" s="67">
        <f t="shared" si="10"/>
        <v>0</v>
      </c>
      <c r="P107" s="67">
        <f t="shared" si="11"/>
        <v>0</v>
      </c>
    </row>
    <row r="108" spans="1:16">
      <c r="B108" s="9" t="str">
        <f t="shared" si="15"/>
        <v/>
      </c>
      <c r="C108" s="62">
        <f>IF(D93="","-",+C107+1)</f>
        <v>2030</v>
      </c>
      <c r="D108" s="63">
        <f>IF(F107+SUM(E$99:E107)=D$92,F107,D$92-SUM(E$99:E107))</f>
        <v>968832</v>
      </c>
      <c r="E108" s="69">
        <f t="shared" si="16"/>
        <v>29359</v>
      </c>
      <c r="F108" s="68">
        <f t="shared" si="17"/>
        <v>939473</v>
      </c>
      <c r="G108" s="68">
        <f t="shared" si="18"/>
        <v>954152.5</v>
      </c>
      <c r="H108" s="130">
        <f t="shared" si="12"/>
        <v>137934.67795295379</v>
      </c>
      <c r="I108" s="139">
        <f t="shared" si="13"/>
        <v>137934.67795295379</v>
      </c>
      <c r="J108" s="67">
        <f t="shared" si="14"/>
        <v>0</v>
      </c>
      <c r="K108" s="67"/>
      <c r="L108" s="132"/>
      <c r="M108" s="67">
        <f t="shared" si="9"/>
        <v>0</v>
      </c>
      <c r="N108" s="132"/>
      <c r="O108" s="67">
        <f t="shared" si="10"/>
        <v>0</v>
      </c>
      <c r="P108" s="67">
        <f t="shared" si="11"/>
        <v>0</v>
      </c>
    </row>
    <row r="109" spans="1:16">
      <c r="B109" s="9" t="str">
        <f t="shared" si="15"/>
        <v/>
      </c>
      <c r="C109" s="62">
        <f>IF(D93="","-",+C108+1)</f>
        <v>2031</v>
      </c>
      <c r="D109" s="63">
        <f>IF(F108+SUM(E$99:E108)=D$92,F108,D$92-SUM(E$99:E108))</f>
        <v>939473</v>
      </c>
      <c r="E109" s="69">
        <f t="shared" si="16"/>
        <v>29359</v>
      </c>
      <c r="F109" s="68">
        <f t="shared" si="17"/>
        <v>910114</v>
      </c>
      <c r="G109" s="68">
        <f t="shared" si="18"/>
        <v>924793.5</v>
      </c>
      <c r="H109" s="130">
        <f t="shared" si="12"/>
        <v>134593.83534234302</v>
      </c>
      <c r="I109" s="139">
        <f t="shared" si="13"/>
        <v>134593.83534234302</v>
      </c>
      <c r="J109" s="67">
        <f t="shared" si="14"/>
        <v>0</v>
      </c>
      <c r="K109" s="67"/>
      <c r="L109" s="132"/>
      <c r="M109" s="67">
        <f t="shared" si="9"/>
        <v>0</v>
      </c>
      <c r="N109" s="132"/>
      <c r="O109" s="67">
        <f t="shared" si="10"/>
        <v>0</v>
      </c>
      <c r="P109" s="67">
        <f t="shared" si="11"/>
        <v>0</v>
      </c>
    </row>
    <row r="110" spans="1:16">
      <c r="B110" s="9" t="str">
        <f t="shared" si="15"/>
        <v/>
      </c>
      <c r="C110" s="62">
        <f>IF(D93="","-",+C109+1)</f>
        <v>2032</v>
      </c>
      <c r="D110" s="63">
        <f>IF(F109+SUM(E$99:E109)=D$92,F109,D$92-SUM(E$99:E109))</f>
        <v>910114</v>
      </c>
      <c r="E110" s="69">
        <f t="shared" si="16"/>
        <v>29359</v>
      </c>
      <c r="F110" s="68">
        <f t="shared" si="17"/>
        <v>880755</v>
      </c>
      <c r="G110" s="68">
        <f t="shared" si="18"/>
        <v>895434.5</v>
      </c>
      <c r="H110" s="130">
        <f t="shared" si="12"/>
        <v>131252.99273173226</v>
      </c>
      <c r="I110" s="139">
        <f t="shared" si="13"/>
        <v>131252.99273173226</v>
      </c>
      <c r="J110" s="67">
        <f t="shared" si="14"/>
        <v>0</v>
      </c>
      <c r="K110" s="67"/>
      <c r="L110" s="132"/>
      <c r="M110" s="67">
        <f t="shared" si="9"/>
        <v>0</v>
      </c>
      <c r="N110" s="132"/>
      <c r="O110" s="67">
        <f t="shared" si="10"/>
        <v>0</v>
      </c>
      <c r="P110" s="67">
        <f t="shared" si="11"/>
        <v>0</v>
      </c>
    </row>
    <row r="111" spans="1:16">
      <c r="B111" s="9" t="str">
        <f t="shared" si="15"/>
        <v/>
      </c>
      <c r="C111" s="62">
        <f>IF(D93="","-",+C110+1)</f>
        <v>2033</v>
      </c>
      <c r="D111" s="63">
        <f>IF(F110+SUM(E$99:E110)=D$92,F110,D$92-SUM(E$99:E110))</f>
        <v>880755</v>
      </c>
      <c r="E111" s="69">
        <f t="shared" si="16"/>
        <v>29359</v>
      </c>
      <c r="F111" s="68">
        <f t="shared" si="17"/>
        <v>851396</v>
      </c>
      <c r="G111" s="68">
        <f t="shared" si="18"/>
        <v>866075.5</v>
      </c>
      <c r="H111" s="130">
        <f t="shared" si="12"/>
        <v>127912.15012112154</v>
      </c>
      <c r="I111" s="139">
        <f t="shared" si="13"/>
        <v>127912.15012112154</v>
      </c>
      <c r="J111" s="67">
        <f t="shared" si="14"/>
        <v>0</v>
      </c>
      <c r="K111" s="67"/>
      <c r="L111" s="132"/>
      <c r="M111" s="67">
        <f t="shared" si="9"/>
        <v>0</v>
      </c>
      <c r="N111" s="132"/>
      <c r="O111" s="67">
        <f t="shared" si="10"/>
        <v>0</v>
      </c>
      <c r="P111" s="67">
        <f t="shared" si="11"/>
        <v>0</v>
      </c>
    </row>
    <row r="112" spans="1:16">
      <c r="B112" s="9" t="str">
        <f t="shared" si="15"/>
        <v/>
      </c>
      <c r="C112" s="62">
        <f>IF(D93="","-",+C111+1)</f>
        <v>2034</v>
      </c>
      <c r="D112" s="63">
        <f>IF(F111+SUM(E$99:E111)=D$92,F111,D$92-SUM(E$99:E111))</f>
        <v>851396</v>
      </c>
      <c r="E112" s="69">
        <f t="shared" si="16"/>
        <v>29359</v>
      </c>
      <c r="F112" s="68">
        <f t="shared" si="17"/>
        <v>822037</v>
      </c>
      <c r="G112" s="68">
        <f t="shared" si="18"/>
        <v>836716.5</v>
      </c>
      <c r="H112" s="130">
        <f t="shared" si="12"/>
        <v>124571.30751051079</v>
      </c>
      <c r="I112" s="139">
        <f t="shared" si="13"/>
        <v>124571.30751051079</v>
      </c>
      <c r="J112" s="67">
        <f t="shared" si="14"/>
        <v>0</v>
      </c>
      <c r="K112" s="67"/>
      <c r="L112" s="132"/>
      <c r="M112" s="67">
        <f t="shared" si="9"/>
        <v>0</v>
      </c>
      <c r="N112" s="132"/>
      <c r="O112" s="67">
        <f t="shared" si="10"/>
        <v>0</v>
      </c>
      <c r="P112" s="67">
        <f t="shared" si="11"/>
        <v>0</v>
      </c>
    </row>
    <row r="113" spans="2:16">
      <c r="B113" s="9" t="str">
        <f t="shared" si="15"/>
        <v/>
      </c>
      <c r="C113" s="62">
        <f>IF(D93="","-",+C112+1)</f>
        <v>2035</v>
      </c>
      <c r="D113" s="63">
        <f>IF(F112+SUM(E$99:E112)=D$92,F112,D$92-SUM(E$99:E112))</f>
        <v>822037</v>
      </c>
      <c r="E113" s="69">
        <f t="shared" si="16"/>
        <v>29359</v>
      </c>
      <c r="F113" s="68">
        <f t="shared" si="17"/>
        <v>792678</v>
      </c>
      <c r="G113" s="68">
        <f t="shared" si="18"/>
        <v>807357.5</v>
      </c>
      <c r="H113" s="130">
        <f t="shared" si="12"/>
        <v>121230.46489990003</v>
      </c>
      <c r="I113" s="139">
        <f t="shared" si="13"/>
        <v>121230.46489990003</v>
      </c>
      <c r="J113" s="67">
        <f t="shared" si="14"/>
        <v>0</v>
      </c>
      <c r="K113" s="67"/>
      <c r="L113" s="132"/>
      <c r="M113" s="67">
        <f t="shared" si="9"/>
        <v>0</v>
      </c>
      <c r="N113" s="132"/>
      <c r="O113" s="67">
        <f t="shared" si="10"/>
        <v>0</v>
      </c>
      <c r="P113" s="67">
        <f t="shared" si="11"/>
        <v>0</v>
      </c>
    </row>
    <row r="114" spans="2:16">
      <c r="B114" s="9" t="str">
        <f t="shared" si="15"/>
        <v/>
      </c>
      <c r="C114" s="62">
        <f>IF(D93="","-",+C113+1)</f>
        <v>2036</v>
      </c>
      <c r="D114" s="63">
        <f>IF(F113+SUM(E$99:E113)=D$92,F113,D$92-SUM(E$99:E113))</f>
        <v>792678</v>
      </c>
      <c r="E114" s="69">
        <f t="shared" si="16"/>
        <v>29359</v>
      </c>
      <c r="F114" s="68">
        <f t="shared" si="17"/>
        <v>763319</v>
      </c>
      <c r="G114" s="68">
        <f t="shared" si="18"/>
        <v>777998.5</v>
      </c>
      <c r="H114" s="130">
        <f t="shared" si="12"/>
        <v>117889.6222892893</v>
      </c>
      <c r="I114" s="139">
        <f t="shared" si="13"/>
        <v>117889.6222892893</v>
      </c>
      <c r="J114" s="67">
        <f t="shared" si="14"/>
        <v>0</v>
      </c>
      <c r="K114" s="67"/>
      <c r="L114" s="132"/>
      <c r="M114" s="67">
        <f t="shared" si="9"/>
        <v>0</v>
      </c>
      <c r="N114" s="132"/>
      <c r="O114" s="67">
        <f t="shared" si="10"/>
        <v>0</v>
      </c>
      <c r="P114" s="67">
        <f t="shared" si="11"/>
        <v>0</v>
      </c>
    </row>
    <row r="115" spans="2:16">
      <c r="B115" s="9" t="str">
        <f t="shared" si="15"/>
        <v/>
      </c>
      <c r="C115" s="62">
        <f>IF(D93="","-",+C114+1)</f>
        <v>2037</v>
      </c>
      <c r="D115" s="63">
        <f>IF(F114+SUM(E$99:E114)=D$92,F114,D$92-SUM(E$99:E114))</f>
        <v>763319</v>
      </c>
      <c r="E115" s="69">
        <f t="shared" si="16"/>
        <v>29359</v>
      </c>
      <c r="F115" s="68">
        <f t="shared" si="17"/>
        <v>733960</v>
      </c>
      <c r="G115" s="68">
        <f t="shared" si="18"/>
        <v>748639.5</v>
      </c>
      <c r="H115" s="130">
        <f t="shared" si="12"/>
        <v>114548.77967867855</v>
      </c>
      <c r="I115" s="139">
        <f t="shared" si="13"/>
        <v>114548.77967867855</v>
      </c>
      <c r="J115" s="67">
        <f t="shared" si="14"/>
        <v>0</v>
      </c>
      <c r="K115" s="67"/>
      <c r="L115" s="132"/>
      <c r="M115" s="67">
        <f t="shared" si="9"/>
        <v>0</v>
      </c>
      <c r="N115" s="132"/>
      <c r="O115" s="67">
        <f t="shared" si="10"/>
        <v>0</v>
      </c>
      <c r="P115" s="67">
        <f t="shared" si="11"/>
        <v>0</v>
      </c>
    </row>
    <row r="116" spans="2:16">
      <c r="B116" s="9" t="str">
        <f t="shared" si="15"/>
        <v/>
      </c>
      <c r="C116" s="62">
        <f>IF(D93="","-",+C115+1)</f>
        <v>2038</v>
      </c>
      <c r="D116" s="63">
        <f>IF(F115+SUM(E$99:E115)=D$92,F115,D$92-SUM(E$99:E115))</f>
        <v>733960</v>
      </c>
      <c r="E116" s="69">
        <f t="shared" si="16"/>
        <v>29359</v>
      </c>
      <c r="F116" s="68">
        <f t="shared" si="17"/>
        <v>704601</v>
      </c>
      <c r="G116" s="68">
        <f t="shared" si="18"/>
        <v>719280.5</v>
      </c>
      <c r="H116" s="130">
        <f t="shared" si="12"/>
        <v>111207.9370680678</v>
      </c>
      <c r="I116" s="139">
        <f t="shared" si="13"/>
        <v>111207.9370680678</v>
      </c>
      <c r="J116" s="67">
        <f t="shared" si="14"/>
        <v>0</v>
      </c>
      <c r="K116" s="67"/>
      <c r="L116" s="132"/>
      <c r="M116" s="67">
        <f t="shared" si="9"/>
        <v>0</v>
      </c>
      <c r="N116" s="132"/>
      <c r="O116" s="67">
        <f t="shared" si="10"/>
        <v>0</v>
      </c>
      <c r="P116" s="67">
        <f t="shared" si="11"/>
        <v>0</v>
      </c>
    </row>
    <row r="117" spans="2:16">
      <c r="B117" s="9" t="str">
        <f t="shared" si="15"/>
        <v/>
      </c>
      <c r="C117" s="62">
        <f>IF(D93="","-",+C116+1)</f>
        <v>2039</v>
      </c>
      <c r="D117" s="63">
        <f>IF(F116+SUM(E$99:E116)=D$92,F116,D$92-SUM(E$99:E116))</f>
        <v>704601</v>
      </c>
      <c r="E117" s="69">
        <f t="shared" si="16"/>
        <v>29359</v>
      </c>
      <c r="F117" s="68">
        <f t="shared" si="17"/>
        <v>675242</v>
      </c>
      <c r="G117" s="68">
        <f t="shared" si="18"/>
        <v>689921.5</v>
      </c>
      <c r="H117" s="130">
        <f t="shared" si="12"/>
        <v>107867.09445745706</v>
      </c>
      <c r="I117" s="139">
        <f t="shared" si="13"/>
        <v>107867.09445745706</v>
      </c>
      <c r="J117" s="67">
        <f t="shared" si="14"/>
        <v>0</v>
      </c>
      <c r="K117" s="67"/>
      <c r="L117" s="132"/>
      <c r="M117" s="67">
        <f t="shared" si="9"/>
        <v>0</v>
      </c>
      <c r="N117" s="132"/>
      <c r="O117" s="67">
        <f t="shared" si="10"/>
        <v>0</v>
      </c>
      <c r="P117" s="67">
        <f t="shared" si="11"/>
        <v>0</v>
      </c>
    </row>
    <row r="118" spans="2:16">
      <c r="B118" s="9" t="str">
        <f t="shared" si="15"/>
        <v/>
      </c>
      <c r="C118" s="62">
        <f>IF(D93="","-",+C117+1)</f>
        <v>2040</v>
      </c>
      <c r="D118" s="63">
        <f>IF(F117+SUM(E$99:E117)=D$92,F117,D$92-SUM(E$99:E117))</f>
        <v>675242</v>
      </c>
      <c r="E118" s="69">
        <f t="shared" si="16"/>
        <v>29359</v>
      </c>
      <c r="F118" s="68">
        <f t="shared" si="17"/>
        <v>645883</v>
      </c>
      <c r="G118" s="68">
        <f t="shared" si="18"/>
        <v>660562.5</v>
      </c>
      <c r="H118" s="130">
        <f t="shared" si="12"/>
        <v>104526.25184684631</v>
      </c>
      <c r="I118" s="139">
        <f t="shared" si="13"/>
        <v>104526.25184684631</v>
      </c>
      <c r="J118" s="67">
        <f t="shared" si="14"/>
        <v>0</v>
      </c>
      <c r="K118" s="67"/>
      <c r="L118" s="132"/>
      <c r="M118" s="67">
        <f t="shared" si="9"/>
        <v>0</v>
      </c>
      <c r="N118" s="132"/>
      <c r="O118" s="67">
        <f t="shared" si="10"/>
        <v>0</v>
      </c>
      <c r="P118" s="67">
        <f t="shared" si="11"/>
        <v>0</v>
      </c>
    </row>
    <row r="119" spans="2:16">
      <c r="B119" s="9" t="str">
        <f t="shared" si="15"/>
        <v/>
      </c>
      <c r="C119" s="62">
        <f>IF(D93="","-",+C118+1)</f>
        <v>2041</v>
      </c>
      <c r="D119" s="63">
        <f>IF(F118+SUM(E$99:E118)=D$92,F118,D$92-SUM(E$99:E118))</f>
        <v>645883</v>
      </c>
      <c r="E119" s="69">
        <f t="shared" si="16"/>
        <v>29359</v>
      </c>
      <c r="F119" s="68">
        <f t="shared" si="17"/>
        <v>616524</v>
      </c>
      <c r="G119" s="68">
        <f t="shared" si="18"/>
        <v>631203.5</v>
      </c>
      <c r="H119" s="130">
        <f t="shared" si="12"/>
        <v>101185.40923623556</v>
      </c>
      <c r="I119" s="139">
        <f t="shared" si="13"/>
        <v>101185.40923623556</v>
      </c>
      <c r="J119" s="67">
        <f t="shared" si="14"/>
        <v>0</v>
      </c>
      <c r="K119" s="67"/>
      <c r="L119" s="132"/>
      <c r="M119" s="67">
        <f t="shared" si="9"/>
        <v>0</v>
      </c>
      <c r="N119" s="132"/>
      <c r="O119" s="67">
        <f t="shared" si="10"/>
        <v>0</v>
      </c>
      <c r="P119" s="67">
        <f t="shared" si="11"/>
        <v>0</v>
      </c>
    </row>
    <row r="120" spans="2:16">
      <c r="B120" s="9" t="str">
        <f t="shared" si="15"/>
        <v/>
      </c>
      <c r="C120" s="62">
        <f>IF(D93="","-",+C119+1)</f>
        <v>2042</v>
      </c>
      <c r="D120" s="63">
        <f>IF(F119+SUM(E$99:E119)=D$92,F119,D$92-SUM(E$99:E119))</f>
        <v>616524</v>
      </c>
      <c r="E120" s="69">
        <f t="shared" si="16"/>
        <v>29359</v>
      </c>
      <c r="F120" s="68">
        <f t="shared" si="17"/>
        <v>587165</v>
      </c>
      <c r="G120" s="68">
        <f t="shared" si="18"/>
        <v>601844.5</v>
      </c>
      <c r="H120" s="130">
        <f t="shared" si="12"/>
        <v>97844.566625624822</v>
      </c>
      <c r="I120" s="139">
        <f t="shared" si="13"/>
        <v>97844.566625624822</v>
      </c>
      <c r="J120" s="67">
        <f t="shared" si="14"/>
        <v>0</v>
      </c>
      <c r="K120" s="67"/>
      <c r="L120" s="132"/>
      <c r="M120" s="67">
        <f t="shared" si="9"/>
        <v>0</v>
      </c>
      <c r="N120" s="132"/>
      <c r="O120" s="67">
        <f t="shared" si="10"/>
        <v>0</v>
      </c>
      <c r="P120" s="67">
        <f t="shared" si="11"/>
        <v>0</v>
      </c>
    </row>
    <row r="121" spans="2:16">
      <c r="B121" s="9" t="str">
        <f t="shared" si="15"/>
        <v/>
      </c>
      <c r="C121" s="62">
        <f>IF(D93="","-",+C120+1)</f>
        <v>2043</v>
      </c>
      <c r="D121" s="63">
        <f>IF(F120+SUM(E$99:E120)=D$92,F120,D$92-SUM(E$99:E120))</f>
        <v>587165</v>
      </c>
      <c r="E121" s="69">
        <f t="shared" si="16"/>
        <v>29359</v>
      </c>
      <c r="F121" s="68">
        <f t="shared" si="17"/>
        <v>557806</v>
      </c>
      <c r="G121" s="68">
        <f t="shared" si="18"/>
        <v>572485.5</v>
      </c>
      <c r="H121" s="130">
        <f t="shared" si="12"/>
        <v>94503.724015014071</v>
      </c>
      <c r="I121" s="139">
        <f t="shared" si="13"/>
        <v>94503.724015014071</v>
      </c>
      <c r="J121" s="67">
        <f t="shared" si="14"/>
        <v>0</v>
      </c>
      <c r="K121" s="67"/>
      <c r="L121" s="132"/>
      <c r="M121" s="67">
        <f t="shared" si="9"/>
        <v>0</v>
      </c>
      <c r="N121" s="132"/>
      <c r="O121" s="67">
        <f t="shared" si="10"/>
        <v>0</v>
      </c>
      <c r="P121" s="67">
        <f t="shared" si="11"/>
        <v>0</v>
      </c>
    </row>
    <row r="122" spans="2:16">
      <c r="B122" s="9" t="str">
        <f t="shared" si="15"/>
        <v/>
      </c>
      <c r="C122" s="62">
        <f>IF(D93="","-",+C121+1)</f>
        <v>2044</v>
      </c>
      <c r="D122" s="63">
        <f>IF(F121+SUM(E$99:E121)=D$92,F121,D$92-SUM(E$99:E121))</f>
        <v>557806</v>
      </c>
      <c r="E122" s="69">
        <f t="shared" si="16"/>
        <v>29359</v>
      </c>
      <c r="F122" s="68">
        <f t="shared" si="17"/>
        <v>528447</v>
      </c>
      <c r="G122" s="68">
        <f t="shared" si="18"/>
        <v>543126.5</v>
      </c>
      <c r="H122" s="130">
        <f t="shared" si="12"/>
        <v>91162.881404403335</v>
      </c>
      <c r="I122" s="139">
        <f t="shared" si="13"/>
        <v>91162.881404403335</v>
      </c>
      <c r="J122" s="67">
        <f t="shared" si="14"/>
        <v>0</v>
      </c>
      <c r="K122" s="67"/>
      <c r="L122" s="132"/>
      <c r="M122" s="67">
        <f t="shared" si="9"/>
        <v>0</v>
      </c>
      <c r="N122" s="132"/>
      <c r="O122" s="67">
        <f t="shared" si="10"/>
        <v>0</v>
      </c>
      <c r="P122" s="67">
        <f t="shared" si="11"/>
        <v>0</v>
      </c>
    </row>
    <row r="123" spans="2:16">
      <c r="B123" s="9" t="str">
        <f t="shared" si="15"/>
        <v/>
      </c>
      <c r="C123" s="62">
        <f>IF(D93="","-",+C122+1)</f>
        <v>2045</v>
      </c>
      <c r="D123" s="63">
        <f>IF(F122+SUM(E$99:E122)=D$92,F122,D$92-SUM(E$99:E122))</f>
        <v>528447</v>
      </c>
      <c r="E123" s="69">
        <f t="shared" si="16"/>
        <v>29359</v>
      </c>
      <c r="F123" s="68">
        <f t="shared" si="17"/>
        <v>499088</v>
      </c>
      <c r="G123" s="68">
        <f t="shared" si="18"/>
        <v>513767.5</v>
      </c>
      <c r="H123" s="130">
        <f t="shared" si="12"/>
        <v>87822.038793792584</v>
      </c>
      <c r="I123" s="139">
        <f t="shared" si="13"/>
        <v>87822.038793792584</v>
      </c>
      <c r="J123" s="67">
        <f t="shared" si="14"/>
        <v>0</v>
      </c>
      <c r="K123" s="67"/>
      <c r="L123" s="132"/>
      <c r="M123" s="67">
        <f t="shared" si="9"/>
        <v>0</v>
      </c>
      <c r="N123" s="132"/>
      <c r="O123" s="67">
        <f t="shared" si="10"/>
        <v>0</v>
      </c>
      <c r="P123" s="67">
        <f t="shared" si="11"/>
        <v>0</v>
      </c>
    </row>
    <row r="124" spans="2:16">
      <c r="B124" s="9" t="str">
        <f t="shared" si="15"/>
        <v/>
      </c>
      <c r="C124" s="62">
        <f>IF(D93="","-",+C123+1)</f>
        <v>2046</v>
      </c>
      <c r="D124" s="63">
        <f>IF(F123+SUM(E$99:E123)=D$92,F123,D$92-SUM(E$99:E123))</f>
        <v>499088</v>
      </c>
      <c r="E124" s="69">
        <f t="shared" si="16"/>
        <v>29359</v>
      </c>
      <c r="F124" s="68">
        <f t="shared" si="17"/>
        <v>469729</v>
      </c>
      <c r="G124" s="68">
        <f t="shared" si="18"/>
        <v>484408.5</v>
      </c>
      <c r="H124" s="130">
        <f t="shared" si="12"/>
        <v>84481.196183181833</v>
      </c>
      <c r="I124" s="139">
        <f t="shared" si="13"/>
        <v>84481.196183181833</v>
      </c>
      <c r="J124" s="67">
        <f t="shared" si="14"/>
        <v>0</v>
      </c>
      <c r="K124" s="67"/>
      <c r="L124" s="132"/>
      <c r="M124" s="67">
        <f t="shared" si="9"/>
        <v>0</v>
      </c>
      <c r="N124" s="132"/>
      <c r="O124" s="67">
        <f t="shared" si="10"/>
        <v>0</v>
      </c>
      <c r="P124" s="67">
        <f t="shared" si="11"/>
        <v>0</v>
      </c>
    </row>
    <row r="125" spans="2:16">
      <c r="B125" s="9" t="str">
        <f t="shared" si="15"/>
        <v/>
      </c>
      <c r="C125" s="62">
        <f>IF(D93="","-",+C124+1)</f>
        <v>2047</v>
      </c>
      <c r="D125" s="63">
        <f>IF(F124+SUM(E$99:E124)=D$92,F124,D$92-SUM(E$99:E124))</f>
        <v>469729</v>
      </c>
      <c r="E125" s="69">
        <f t="shared" si="16"/>
        <v>29359</v>
      </c>
      <c r="F125" s="68">
        <f t="shared" si="17"/>
        <v>440370</v>
      </c>
      <c r="G125" s="68">
        <f t="shared" si="18"/>
        <v>455049.5</v>
      </c>
      <c r="H125" s="130">
        <f t="shared" si="12"/>
        <v>81140.353572571097</v>
      </c>
      <c r="I125" s="139">
        <f t="shared" si="13"/>
        <v>81140.353572571097</v>
      </c>
      <c r="J125" s="67">
        <f t="shared" si="14"/>
        <v>0</v>
      </c>
      <c r="K125" s="67"/>
      <c r="L125" s="132"/>
      <c r="M125" s="67">
        <f t="shared" si="9"/>
        <v>0</v>
      </c>
      <c r="N125" s="132"/>
      <c r="O125" s="67">
        <f t="shared" si="10"/>
        <v>0</v>
      </c>
      <c r="P125" s="67">
        <f t="shared" si="11"/>
        <v>0</v>
      </c>
    </row>
    <row r="126" spans="2:16">
      <c r="B126" s="9" t="str">
        <f t="shared" si="15"/>
        <v/>
      </c>
      <c r="C126" s="62">
        <f>IF(D93="","-",+C125+1)</f>
        <v>2048</v>
      </c>
      <c r="D126" s="63">
        <f>IF(F125+SUM(E$99:E125)=D$92,F125,D$92-SUM(E$99:E125))</f>
        <v>440370</v>
      </c>
      <c r="E126" s="69">
        <f t="shared" si="16"/>
        <v>29359</v>
      </c>
      <c r="F126" s="68">
        <f t="shared" si="17"/>
        <v>411011</v>
      </c>
      <c r="G126" s="68">
        <f t="shared" si="18"/>
        <v>425690.5</v>
      </c>
      <c r="H126" s="130">
        <f t="shared" si="12"/>
        <v>77799.510961960346</v>
      </c>
      <c r="I126" s="139">
        <f t="shared" si="13"/>
        <v>77799.510961960346</v>
      </c>
      <c r="J126" s="67">
        <f t="shared" si="14"/>
        <v>0</v>
      </c>
      <c r="K126" s="67"/>
      <c r="L126" s="132"/>
      <c r="M126" s="67">
        <f t="shared" si="9"/>
        <v>0</v>
      </c>
      <c r="N126" s="132"/>
      <c r="O126" s="67">
        <f t="shared" si="10"/>
        <v>0</v>
      </c>
      <c r="P126" s="67">
        <f t="shared" si="11"/>
        <v>0</v>
      </c>
    </row>
    <row r="127" spans="2:16">
      <c r="B127" s="9" t="str">
        <f t="shared" si="15"/>
        <v/>
      </c>
      <c r="C127" s="62">
        <f>IF(D93="","-",+C126+1)</f>
        <v>2049</v>
      </c>
      <c r="D127" s="63">
        <f>IF(F126+SUM(E$99:E126)=D$92,F126,D$92-SUM(E$99:E126))</f>
        <v>411011</v>
      </c>
      <c r="E127" s="69">
        <f t="shared" si="16"/>
        <v>29359</v>
      </c>
      <c r="F127" s="68">
        <f t="shared" si="17"/>
        <v>381652</v>
      </c>
      <c r="G127" s="68">
        <f t="shared" si="18"/>
        <v>396331.5</v>
      </c>
      <c r="H127" s="130">
        <f t="shared" si="12"/>
        <v>74458.668351349595</v>
      </c>
      <c r="I127" s="139">
        <f t="shared" si="13"/>
        <v>74458.668351349595</v>
      </c>
      <c r="J127" s="67">
        <f t="shared" si="14"/>
        <v>0</v>
      </c>
      <c r="K127" s="67"/>
      <c r="L127" s="132"/>
      <c r="M127" s="67">
        <f t="shared" si="9"/>
        <v>0</v>
      </c>
      <c r="N127" s="132"/>
      <c r="O127" s="67">
        <f t="shared" si="10"/>
        <v>0</v>
      </c>
      <c r="P127" s="67">
        <f t="shared" si="11"/>
        <v>0</v>
      </c>
    </row>
    <row r="128" spans="2:16">
      <c r="B128" s="9" t="str">
        <f t="shared" si="15"/>
        <v/>
      </c>
      <c r="C128" s="62">
        <f>IF(D93="","-",+C127+1)</f>
        <v>2050</v>
      </c>
      <c r="D128" s="63">
        <f>IF(F127+SUM(E$99:E127)=D$92,F127,D$92-SUM(E$99:E127))</f>
        <v>381652</v>
      </c>
      <c r="E128" s="69">
        <f t="shared" si="16"/>
        <v>29359</v>
      </c>
      <c r="F128" s="68">
        <f t="shared" si="17"/>
        <v>352293</v>
      </c>
      <c r="G128" s="68">
        <f t="shared" si="18"/>
        <v>366972.5</v>
      </c>
      <c r="H128" s="130">
        <f t="shared" si="12"/>
        <v>71117.825740738859</v>
      </c>
      <c r="I128" s="139">
        <f t="shared" si="13"/>
        <v>71117.825740738859</v>
      </c>
      <c r="J128" s="67">
        <f t="shared" si="14"/>
        <v>0</v>
      </c>
      <c r="K128" s="67"/>
      <c r="L128" s="132"/>
      <c r="M128" s="67">
        <f t="shared" si="9"/>
        <v>0</v>
      </c>
      <c r="N128" s="132"/>
      <c r="O128" s="67">
        <f t="shared" si="10"/>
        <v>0</v>
      </c>
      <c r="P128" s="67">
        <f t="shared" si="11"/>
        <v>0</v>
      </c>
    </row>
    <row r="129" spans="2:16">
      <c r="B129" s="9" t="str">
        <f t="shared" si="15"/>
        <v/>
      </c>
      <c r="C129" s="62">
        <f>IF(D93="","-",+C128+1)</f>
        <v>2051</v>
      </c>
      <c r="D129" s="63">
        <f>IF(F128+SUM(E$99:E128)=D$92,F128,D$92-SUM(E$99:E128))</f>
        <v>352293</v>
      </c>
      <c r="E129" s="69">
        <f t="shared" si="16"/>
        <v>29359</v>
      </c>
      <c r="F129" s="68">
        <f t="shared" si="17"/>
        <v>322934</v>
      </c>
      <c r="G129" s="68">
        <f t="shared" si="18"/>
        <v>337613.5</v>
      </c>
      <c r="H129" s="130">
        <f t="shared" si="12"/>
        <v>67776.983130128108</v>
      </c>
      <c r="I129" s="139">
        <f t="shared" si="13"/>
        <v>67776.983130128108</v>
      </c>
      <c r="J129" s="67">
        <f t="shared" si="14"/>
        <v>0</v>
      </c>
      <c r="K129" s="67"/>
      <c r="L129" s="132"/>
      <c r="M129" s="67">
        <f t="shared" si="9"/>
        <v>0</v>
      </c>
      <c r="N129" s="132"/>
      <c r="O129" s="67">
        <f t="shared" si="10"/>
        <v>0</v>
      </c>
      <c r="P129" s="67">
        <f t="shared" si="11"/>
        <v>0</v>
      </c>
    </row>
    <row r="130" spans="2:16">
      <c r="B130" s="9" t="str">
        <f t="shared" si="15"/>
        <v/>
      </c>
      <c r="C130" s="62">
        <f>IF(D93="","-",+C129+1)</f>
        <v>2052</v>
      </c>
      <c r="D130" s="63">
        <f>IF(F129+SUM(E$99:E129)=D$92,F129,D$92-SUM(E$99:E129))</f>
        <v>322934</v>
      </c>
      <c r="E130" s="69">
        <f t="shared" si="16"/>
        <v>29359</v>
      </c>
      <c r="F130" s="68">
        <f t="shared" si="17"/>
        <v>293575</v>
      </c>
      <c r="G130" s="68">
        <f t="shared" si="18"/>
        <v>308254.5</v>
      </c>
      <c r="H130" s="130">
        <f t="shared" si="12"/>
        <v>64436.140519517357</v>
      </c>
      <c r="I130" s="139">
        <f t="shared" si="13"/>
        <v>64436.140519517357</v>
      </c>
      <c r="J130" s="67">
        <f t="shared" si="14"/>
        <v>0</v>
      </c>
      <c r="K130" s="67"/>
      <c r="L130" s="132"/>
      <c r="M130" s="67">
        <f t="shared" si="9"/>
        <v>0</v>
      </c>
      <c r="N130" s="132"/>
      <c r="O130" s="67">
        <f t="shared" si="10"/>
        <v>0</v>
      </c>
      <c r="P130" s="67">
        <f t="shared" si="11"/>
        <v>0</v>
      </c>
    </row>
    <row r="131" spans="2:16">
      <c r="B131" s="9" t="str">
        <f t="shared" si="15"/>
        <v/>
      </c>
      <c r="C131" s="62">
        <f>IF(D93="","-",+C130+1)</f>
        <v>2053</v>
      </c>
      <c r="D131" s="63">
        <f>IF(F130+SUM(E$99:E130)=D$92,F130,D$92-SUM(E$99:E130))</f>
        <v>293575</v>
      </c>
      <c r="E131" s="69">
        <f t="shared" si="16"/>
        <v>29359</v>
      </c>
      <c r="F131" s="68">
        <f t="shared" si="17"/>
        <v>264216</v>
      </c>
      <c r="G131" s="68">
        <f t="shared" si="18"/>
        <v>278895.5</v>
      </c>
      <c r="H131" s="130">
        <f t="shared" si="12"/>
        <v>61095.297908906614</v>
      </c>
      <c r="I131" s="139">
        <f t="shared" si="13"/>
        <v>61095.297908906614</v>
      </c>
      <c r="J131" s="67">
        <f t="shared" ref="J131:J154" si="19">+I541-H541</f>
        <v>0</v>
      </c>
      <c r="K131" s="67"/>
      <c r="L131" s="132"/>
      <c r="M131" s="67">
        <f t="shared" ref="M131:M154" si="20">IF(L541&lt;&gt;0,+H541-L541,0)</f>
        <v>0</v>
      </c>
      <c r="N131" s="132"/>
      <c r="O131" s="67">
        <f t="shared" ref="O131:O154" si="21">IF(N541&lt;&gt;0,+I541-N541,0)</f>
        <v>0</v>
      </c>
      <c r="P131" s="67">
        <f t="shared" ref="P131:P154" si="22">+O541-M541</f>
        <v>0</v>
      </c>
    </row>
    <row r="132" spans="2:16">
      <c r="B132" s="9" t="str">
        <f t="shared" si="15"/>
        <v/>
      </c>
      <c r="C132" s="62">
        <f>IF(D93="","-",+C131+1)</f>
        <v>2054</v>
      </c>
      <c r="D132" s="63">
        <f>IF(F131+SUM(E$99:E131)=D$92,F131,D$92-SUM(E$99:E131))</f>
        <v>264216</v>
      </c>
      <c r="E132" s="69">
        <f t="shared" si="16"/>
        <v>29359</v>
      </c>
      <c r="F132" s="68">
        <f t="shared" si="17"/>
        <v>234857</v>
      </c>
      <c r="G132" s="68">
        <f t="shared" si="18"/>
        <v>249536.5</v>
      </c>
      <c r="H132" s="130">
        <f t="shared" si="12"/>
        <v>57754.45529829587</v>
      </c>
      <c r="I132" s="139">
        <f t="shared" si="13"/>
        <v>57754.45529829587</v>
      </c>
      <c r="J132" s="67">
        <f t="shared" si="19"/>
        <v>0</v>
      </c>
      <c r="K132" s="67"/>
      <c r="L132" s="132"/>
      <c r="M132" s="67">
        <f t="shared" si="20"/>
        <v>0</v>
      </c>
      <c r="N132" s="132"/>
      <c r="O132" s="67">
        <f t="shared" si="21"/>
        <v>0</v>
      </c>
      <c r="P132" s="67">
        <f t="shared" si="22"/>
        <v>0</v>
      </c>
    </row>
    <row r="133" spans="2:16">
      <c r="B133" s="9" t="str">
        <f t="shared" si="15"/>
        <v/>
      </c>
      <c r="C133" s="62">
        <f>IF(D93="","-",+C132+1)</f>
        <v>2055</v>
      </c>
      <c r="D133" s="63">
        <f>IF(F132+SUM(E$99:E132)=D$92,F132,D$92-SUM(E$99:E132))</f>
        <v>234857</v>
      </c>
      <c r="E133" s="69">
        <f t="shared" si="16"/>
        <v>29359</v>
      </c>
      <c r="F133" s="68">
        <f t="shared" si="17"/>
        <v>205498</v>
      </c>
      <c r="G133" s="68">
        <f t="shared" si="18"/>
        <v>220177.5</v>
      </c>
      <c r="H133" s="130">
        <f t="shared" si="12"/>
        <v>54413.612687685119</v>
      </c>
      <c r="I133" s="139">
        <f t="shared" si="13"/>
        <v>54413.612687685119</v>
      </c>
      <c r="J133" s="67">
        <f t="shared" si="19"/>
        <v>0</v>
      </c>
      <c r="K133" s="67"/>
      <c r="L133" s="132"/>
      <c r="M133" s="67">
        <f t="shared" si="20"/>
        <v>0</v>
      </c>
      <c r="N133" s="132"/>
      <c r="O133" s="67">
        <f t="shared" si="21"/>
        <v>0</v>
      </c>
      <c r="P133" s="67">
        <f t="shared" si="22"/>
        <v>0</v>
      </c>
    </row>
    <row r="134" spans="2:16">
      <c r="B134" s="9" t="str">
        <f t="shared" si="15"/>
        <v/>
      </c>
      <c r="C134" s="62">
        <f>IF(D93="","-",+C133+1)</f>
        <v>2056</v>
      </c>
      <c r="D134" s="63">
        <f>IF(F133+SUM(E$99:E133)=D$92,F133,D$92-SUM(E$99:E133))</f>
        <v>205498</v>
      </c>
      <c r="E134" s="69">
        <f t="shared" si="16"/>
        <v>29359</v>
      </c>
      <c r="F134" s="68">
        <f t="shared" si="17"/>
        <v>176139</v>
      </c>
      <c r="G134" s="68">
        <f t="shared" si="18"/>
        <v>190818.5</v>
      </c>
      <c r="H134" s="130">
        <f t="shared" si="12"/>
        <v>51072.770077074376</v>
      </c>
      <c r="I134" s="139">
        <f t="shared" si="13"/>
        <v>51072.770077074376</v>
      </c>
      <c r="J134" s="67">
        <f t="shared" si="19"/>
        <v>0</v>
      </c>
      <c r="K134" s="67"/>
      <c r="L134" s="132"/>
      <c r="M134" s="67">
        <f t="shared" si="20"/>
        <v>0</v>
      </c>
      <c r="N134" s="132"/>
      <c r="O134" s="67">
        <f t="shared" si="21"/>
        <v>0</v>
      </c>
      <c r="P134" s="67">
        <f t="shared" si="22"/>
        <v>0</v>
      </c>
    </row>
    <row r="135" spans="2:16">
      <c r="B135" s="9" t="str">
        <f t="shared" si="15"/>
        <v/>
      </c>
      <c r="C135" s="62">
        <f>IF(D93="","-",+C134+1)</f>
        <v>2057</v>
      </c>
      <c r="D135" s="63">
        <f>IF(F134+SUM(E$99:E134)=D$92,F134,D$92-SUM(E$99:E134))</f>
        <v>176139</v>
      </c>
      <c r="E135" s="69">
        <f t="shared" si="16"/>
        <v>29359</v>
      </c>
      <c r="F135" s="68">
        <f t="shared" si="17"/>
        <v>146780</v>
      </c>
      <c r="G135" s="68">
        <f t="shared" si="18"/>
        <v>161459.5</v>
      </c>
      <c r="H135" s="130">
        <f t="shared" si="12"/>
        <v>47731.927466463632</v>
      </c>
      <c r="I135" s="139">
        <f t="shared" si="13"/>
        <v>47731.927466463632</v>
      </c>
      <c r="J135" s="67">
        <f t="shared" si="19"/>
        <v>0</v>
      </c>
      <c r="K135" s="67"/>
      <c r="L135" s="132"/>
      <c r="M135" s="67">
        <f t="shared" si="20"/>
        <v>0</v>
      </c>
      <c r="N135" s="132"/>
      <c r="O135" s="67">
        <f t="shared" si="21"/>
        <v>0</v>
      </c>
      <c r="P135" s="67">
        <f t="shared" si="22"/>
        <v>0</v>
      </c>
    </row>
    <row r="136" spans="2:16">
      <c r="B136" s="9" t="str">
        <f t="shared" si="15"/>
        <v/>
      </c>
      <c r="C136" s="62">
        <f>IF(D93="","-",+C135+1)</f>
        <v>2058</v>
      </c>
      <c r="D136" s="63">
        <f>IF(F135+SUM(E$99:E135)=D$92,F135,D$92-SUM(E$99:E135))</f>
        <v>146780</v>
      </c>
      <c r="E136" s="69">
        <f t="shared" si="16"/>
        <v>29359</v>
      </c>
      <c r="F136" s="68">
        <f t="shared" si="17"/>
        <v>117421</v>
      </c>
      <c r="G136" s="68">
        <f t="shared" si="18"/>
        <v>132100.5</v>
      </c>
      <c r="H136" s="130">
        <f t="shared" si="12"/>
        <v>44391.084855852881</v>
      </c>
      <c r="I136" s="139">
        <f t="shared" si="13"/>
        <v>44391.084855852881</v>
      </c>
      <c r="J136" s="67">
        <f t="shared" si="19"/>
        <v>0</v>
      </c>
      <c r="K136" s="67"/>
      <c r="L136" s="132"/>
      <c r="M136" s="67">
        <f t="shared" si="20"/>
        <v>0</v>
      </c>
      <c r="N136" s="132"/>
      <c r="O136" s="67">
        <f t="shared" si="21"/>
        <v>0</v>
      </c>
      <c r="P136" s="67">
        <f t="shared" si="22"/>
        <v>0</v>
      </c>
    </row>
    <row r="137" spans="2:16">
      <c r="B137" s="9" t="str">
        <f t="shared" si="15"/>
        <v/>
      </c>
      <c r="C137" s="62">
        <f>IF(D93="","-",+C136+1)</f>
        <v>2059</v>
      </c>
      <c r="D137" s="63">
        <f>IF(F136+SUM(E$99:E136)=D$92,F136,D$92-SUM(E$99:E136))</f>
        <v>117421</v>
      </c>
      <c r="E137" s="69">
        <f t="shared" si="16"/>
        <v>29359</v>
      </c>
      <c r="F137" s="68">
        <f t="shared" si="17"/>
        <v>88062</v>
      </c>
      <c r="G137" s="68">
        <f t="shared" si="18"/>
        <v>102741.5</v>
      </c>
      <c r="H137" s="130">
        <f t="shared" si="12"/>
        <v>41050.242245242138</v>
      </c>
      <c r="I137" s="139">
        <f t="shared" si="13"/>
        <v>41050.242245242138</v>
      </c>
      <c r="J137" s="67">
        <f t="shared" si="19"/>
        <v>0</v>
      </c>
      <c r="K137" s="67"/>
      <c r="L137" s="132"/>
      <c r="M137" s="67">
        <f t="shared" si="20"/>
        <v>0</v>
      </c>
      <c r="N137" s="132"/>
      <c r="O137" s="67">
        <f t="shared" si="21"/>
        <v>0</v>
      </c>
      <c r="P137" s="67">
        <f t="shared" si="22"/>
        <v>0</v>
      </c>
    </row>
    <row r="138" spans="2:16">
      <c r="B138" s="9" t="str">
        <f t="shared" si="15"/>
        <v/>
      </c>
      <c r="C138" s="62">
        <f>IF(D93="","-",+C137+1)</f>
        <v>2060</v>
      </c>
      <c r="D138" s="63">
        <f>IF(F137+SUM(E$99:E137)=D$92,F137,D$92-SUM(E$99:E137))</f>
        <v>88062</v>
      </c>
      <c r="E138" s="69">
        <f t="shared" si="16"/>
        <v>29359</v>
      </c>
      <c r="F138" s="68">
        <f t="shared" si="17"/>
        <v>58703</v>
      </c>
      <c r="G138" s="68">
        <f t="shared" si="18"/>
        <v>73382.5</v>
      </c>
      <c r="H138" s="130">
        <f t="shared" si="12"/>
        <v>37709.399634631394</v>
      </c>
      <c r="I138" s="139">
        <f t="shared" si="13"/>
        <v>37709.399634631394</v>
      </c>
      <c r="J138" s="67">
        <f t="shared" si="19"/>
        <v>0</v>
      </c>
      <c r="K138" s="67"/>
      <c r="L138" s="132"/>
      <c r="M138" s="67">
        <f t="shared" si="20"/>
        <v>0</v>
      </c>
      <c r="N138" s="132"/>
      <c r="O138" s="67">
        <f t="shared" si="21"/>
        <v>0</v>
      </c>
      <c r="P138" s="67">
        <f t="shared" si="22"/>
        <v>0</v>
      </c>
    </row>
    <row r="139" spans="2:16">
      <c r="B139" s="9" t="str">
        <f t="shared" si="15"/>
        <v/>
      </c>
      <c r="C139" s="62">
        <f>IF(D93="","-",+C138+1)</f>
        <v>2061</v>
      </c>
      <c r="D139" s="63">
        <f>IF(F138+SUM(E$99:E138)=D$92,F138,D$92-SUM(E$99:E138))</f>
        <v>58703</v>
      </c>
      <c r="E139" s="69">
        <f t="shared" si="16"/>
        <v>29359</v>
      </c>
      <c r="F139" s="68">
        <f t="shared" si="17"/>
        <v>29344</v>
      </c>
      <c r="G139" s="68">
        <f t="shared" si="18"/>
        <v>44023.5</v>
      </c>
      <c r="H139" s="130">
        <f t="shared" si="12"/>
        <v>34368.557024020643</v>
      </c>
      <c r="I139" s="139">
        <f t="shared" si="13"/>
        <v>34368.557024020643</v>
      </c>
      <c r="J139" s="67">
        <f t="shared" si="19"/>
        <v>0</v>
      </c>
      <c r="K139" s="67"/>
      <c r="L139" s="132"/>
      <c r="M139" s="67">
        <f t="shared" si="20"/>
        <v>0</v>
      </c>
      <c r="N139" s="132"/>
      <c r="O139" s="67">
        <f t="shared" si="21"/>
        <v>0</v>
      </c>
      <c r="P139" s="67">
        <f t="shared" si="22"/>
        <v>0</v>
      </c>
    </row>
    <row r="140" spans="2:16">
      <c r="B140" s="9" t="str">
        <f t="shared" si="15"/>
        <v/>
      </c>
      <c r="C140" s="62">
        <f>IF(D93="","-",+C139+1)</f>
        <v>2062</v>
      </c>
      <c r="D140" s="63">
        <f>IF(F139+SUM(E$99:E139)=D$92,F139,D$92-SUM(E$99:E139))</f>
        <v>29344</v>
      </c>
      <c r="E140" s="69">
        <f t="shared" si="16"/>
        <v>29344</v>
      </c>
      <c r="F140" s="68">
        <f t="shared" si="17"/>
        <v>0</v>
      </c>
      <c r="G140" s="68">
        <f t="shared" si="18"/>
        <v>14672</v>
      </c>
      <c r="H140" s="130">
        <f t="shared" si="12"/>
        <v>31013.567859357638</v>
      </c>
      <c r="I140" s="139">
        <f t="shared" si="13"/>
        <v>31013.567859357638</v>
      </c>
      <c r="J140" s="67">
        <f t="shared" si="19"/>
        <v>0</v>
      </c>
      <c r="K140" s="67"/>
      <c r="L140" s="132"/>
      <c r="M140" s="67">
        <f t="shared" si="20"/>
        <v>0</v>
      </c>
      <c r="N140" s="132"/>
      <c r="O140" s="67">
        <f t="shared" si="21"/>
        <v>0</v>
      </c>
      <c r="P140" s="67">
        <f t="shared" si="22"/>
        <v>0</v>
      </c>
    </row>
    <row r="141" spans="2:16">
      <c r="B141" s="9" t="str">
        <f t="shared" si="15"/>
        <v/>
      </c>
      <c r="C141" s="62">
        <f>IF(D93="","-",+C140+1)</f>
        <v>2063</v>
      </c>
      <c r="D141" s="63">
        <f>IF(F140+SUM(E$99:E140)=D$92,F140,D$92-SUM(E$99:E140))</f>
        <v>0</v>
      </c>
      <c r="E141" s="69">
        <f t="shared" si="16"/>
        <v>0</v>
      </c>
      <c r="F141" s="68">
        <f t="shared" si="17"/>
        <v>0</v>
      </c>
      <c r="G141" s="68">
        <f t="shared" si="18"/>
        <v>0</v>
      </c>
      <c r="H141" s="130">
        <f t="shared" si="12"/>
        <v>0</v>
      </c>
      <c r="I141" s="139">
        <f t="shared" si="13"/>
        <v>0</v>
      </c>
      <c r="J141" s="67">
        <f t="shared" si="19"/>
        <v>0</v>
      </c>
      <c r="K141" s="67"/>
      <c r="L141" s="132"/>
      <c r="M141" s="67">
        <f t="shared" si="20"/>
        <v>0</v>
      </c>
      <c r="N141" s="132"/>
      <c r="O141" s="67">
        <f t="shared" si="21"/>
        <v>0</v>
      </c>
      <c r="P141" s="67">
        <f t="shared" si="22"/>
        <v>0</v>
      </c>
    </row>
    <row r="142" spans="2:16">
      <c r="B142" s="9" t="str">
        <f t="shared" si="15"/>
        <v/>
      </c>
      <c r="C142" s="62">
        <f>IF(D93="","-",+C141+1)</f>
        <v>2064</v>
      </c>
      <c r="D142" s="63">
        <f>IF(F141+SUM(E$99:E141)=D$92,F141,D$92-SUM(E$99:E141))</f>
        <v>0</v>
      </c>
      <c r="E142" s="69">
        <f t="shared" si="16"/>
        <v>0</v>
      </c>
      <c r="F142" s="68">
        <f t="shared" si="17"/>
        <v>0</v>
      </c>
      <c r="G142" s="68">
        <f t="shared" si="18"/>
        <v>0</v>
      </c>
      <c r="H142" s="130">
        <f t="shared" si="12"/>
        <v>0</v>
      </c>
      <c r="I142" s="139">
        <f t="shared" si="13"/>
        <v>0</v>
      </c>
      <c r="J142" s="67">
        <f t="shared" si="19"/>
        <v>0</v>
      </c>
      <c r="K142" s="67"/>
      <c r="L142" s="132"/>
      <c r="M142" s="67">
        <f t="shared" si="20"/>
        <v>0</v>
      </c>
      <c r="N142" s="132"/>
      <c r="O142" s="67">
        <f t="shared" si="21"/>
        <v>0</v>
      </c>
      <c r="P142" s="67">
        <f t="shared" si="22"/>
        <v>0</v>
      </c>
    </row>
    <row r="143" spans="2:16">
      <c r="B143" s="9" t="str">
        <f t="shared" si="15"/>
        <v/>
      </c>
      <c r="C143" s="62">
        <f>IF(D93="","-",+C142+1)</f>
        <v>2065</v>
      </c>
      <c r="D143" s="63">
        <f>IF(F142+SUM(E$99:E142)=D$92,F142,D$92-SUM(E$99:E142))</f>
        <v>0</v>
      </c>
      <c r="E143" s="69">
        <f t="shared" si="16"/>
        <v>0</v>
      </c>
      <c r="F143" s="68">
        <f t="shared" si="17"/>
        <v>0</v>
      </c>
      <c r="G143" s="68">
        <f t="shared" si="18"/>
        <v>0</v>
      </c>
      <c r="H143" s="130">
        <f t="shared" si="12"/>
        <v>0</v>
      </c>
      <c r="I143" s="139">
        <f t="shared" si="13"/>
        <v>0</v>
      </c>
      <c r="J143" s="67">
        <f t="shared" si="19"/>
        <v>0</v>
      </c>
      <c r="K143" s="67"/>
      <c r="L143" s="132"/>
      <c r="M143" s="67">
        <f t="shared" si="20"/>
        <v>0</v>
      </c>
      <c r="N143" s="132"/>
      <c r="O143" s="67">
        <f t="shared" si="21"/>
        <v>0</v>
      </c>
      <c r="P143" s="67">
        <f t="shared" si="22"/>
        <v>0</v>
      </c>
    </row>
    <row r="144" spans="2:16">
      <c r="B144" s="9" t="str">
        <f t="shared" si="15"/>
        <v/>
      </c>
      <c r="C144" s="62">
        <f>IF(D93="","-",+C143+1)</f>
        <v>2066</v>
      </c>
      <c r="D144" s="63">
        <f>IF(F143+SUM(E$99:E143)=D$92,F143,D$92-SUM(E$99:E143))</f>
        <v>0</v>
      </c>
      <c r="E144" s="69">
        <f t="shared" si="16"/>
        <v>0</v>
      </c>
      <c r="F144" s="68">
        <f t="shared" si="17"/>
        <v>0</v>
      </c>
      <c r="G144" s="68">
        <f t="shared" si="18"/>
        <v>0</v>
      </c>
      <c r="H144" s="130">
        <f t="shared" si="12"/>
        <v>0</v>
      </c>
      <c r="I144" s="139">
        <f t="shared" si="13"/>
        <v>0</v>
      </c>
      <c r="J144" s="67">
        <f t="shared" si="19"/>
        <v>0</v>
      </c>
      <c r="K144" s="67"/>
      <c r="L144" s="132"/>
      <c r="M144" s="67">
        <f t="shared" si="20"/>
        <v>0</v>
      </c>
      <c r="N144" s="132"/>
      <c r="O144" s="67">
        <f t="shared" si="21"/>
        <v>0</v>
      </c>
      <c r="P144" s="67">
        <f t="shared" si="22"/>
        <v>0</v>
      </c>
    </row>
    <row r="145" spans="2:16">
      <c r="B145" s="9" t="str">
        <f t="shared" si="15"/>
        <v/>
      </c>
      <c r="C145" s="62">
        <f>IF(D93="","-",+C144+1)</f>
        <v>2067</v>
      </c>
      <c r="D145" s="63">
        <f>IF(F144+SUM(E$99:E144)=D$92,F144,D$92-SUM(E$99:E144))</f>
        <v>0</v>
      </c>
      <c r="E145" s="69">
        <f t="shared" si="16"/>
        <v>0</v>
      </c>
      <c r="F145" s="68">
        <f t="shared" si="17"/>
        <v>0</v>
      </c>
      <c r="G145" s="68">
        <f t="shared" si="18"/>
        <v>0</v>
      </c>
      <c r="H145" s="130">
        <f t="shared" si="12"/>
        <v>0</v>
      </c>
      <c r="I145" s="139">
        <f t="shared" si="13"/>
        <v>0</v>
      </c>
      <c r="J145" s="67">
        <f t="shared" si="19"/>
        <v>0</v>
      </c>
      <c r="K145" s="67"/>
      <c r="L145" s="132"/>
      <c r="M145" s="67">
        <f t="shared" si="20"/>
        <v>0</v>
      </c>
      <c r="N145" s="132"/>
      <c r="O145" s="67">
        <f t="shared" si="21"/>
        <v>0</v>
      </c>
      <c r="P145" s="67">
        <f t="shared" si="22"/>
        <v>0</v>
      </c>
    </row>
    <row r="146" spans="2:16">
      <c r="B146" s="9" t="str">
        <f t="shared" si="15"/>
        <v/>
      </c>
      <c r="C146" s="62">
        <f>IF(D93="","-",+C145+1)</f>
        <v>2068</v>
      </c>
      <c r="D146" s="63">
        <f>IF(F145+SUM(E$99:E145)=D$92,F145,D$92-SUM(E$99:E145))</f>
        <v>0</v>
      </c>
      <c r="E146" s="69">
        <f t="shared" si="16"/>
        <v>0</v>
      </c>
      <c r="F146" s="68">
        <f t="shared" si="17"/>
        <v>0</v>
      </c>
      <c r="G146" s="68">
        <f t="shared" si="18"/>
        <v>0</v>
      </c>
      <c r="H146" s="130">
        <f t="shared" si="12"/>
        <v>0</v>
      </c>
      <c r="I146" s="139">
        <f t="shared" si="13"/>
        <v>0</v>
      </c>
      <c r="J146" s="67">
        <f t="shared" si="19"/>
        <v>0</v>
      </c>
      <c r="K146" s="67"/>
      <c r="L146" s="132"/>
      <c r="M146" s="67">
        <f t="shared" si="20"/>
        <v>0</v>
      </c>
      <c r="N146" s="132"/>
      <c r="O146" s="67">
        <f t="shared" si="21"/>
        <v>0</v>
      </c>
      <c r="P146" s="67">
        <f t="shared" si="22"/>
        <v>0</v>
      </c>
    </row>
    <row r="147" spans="2:16">
      <c r="B147" s="9" t="str">
        <f t="shared" si="15"/>
        <v/>
      </c>
      <c r="C147" s="62">
        <f>IF(D93="","-",+C146+1)</f>
        <v>2069</v>
      </c>
      <c r="D147" s="63">
        <f>IF(F146+SUM(E$99:E146)=D$92,F146,D$92-SUM(E$99:E146))</f>
        <v>0</v>
      </c>
      <c r="E147" s="69">
        <f t="shared" si="16"/>
        <v>0</v>
      </c>
      <c r="F147" s="68">
        <f t="shared" si="17"/>
        <v>0</v>
      </c>
      <c r="G147" s="68">
        <f t="shared" si="18"/>
        <v>0</v>
      </c>
      <c r="H147" s="130">
        <f t="shared" si="12"/>
        <v>0</v>
      </c>
      <c r="I147" s="139">
        <f t="shared" si="13"/>
        <v>0</v>
      </c>
      <c r="J147" s="67">
        <f t="shared" si="19"/>
        <v>0</v>
      </c>
      <c r="K147" s="67"/>
      <c r="L147" s="132"/>
      <c r="M147" s="67">
        <f t="shared" si="20"/>
        <v>0</v>
      </c>
      <c r="N147" s="132"/>
      <c r="O147" s="67">
        <f t="shared" si="21"/>
        <v>0</v>
      </c>
      <c r="P147" s="67">
        <f t="shared" si="22"/>
        <v>0</v>
      </c>
    </row>
    <row r="148" spans="2:16">
      <c r="B148" s="9" t="str">
        <f t="shared" si="15"/>
        <v/>
      </c>
      <c r="C148" s="62">
        <f>IF(D93="","-",+C147+1)</f>
        <v>2070</v>
      </c>
      <c r="D148" s="63">
        <f>IF(F147+SUM(E$99:E147)=D$92,F147,D$92-SUM(E$99:E147))</f>
        <v>0</v>
      </c>
      <c r="E148" s="69">
        <f t="shared" si="16"/>
        <v>0</v>
      </c>
      <c r="F148" s="68">
        <f t="shared" si="17"/>
        <v>0</v>
      </c>
      <c r="G148" s="68">
        <f t="shared" si="18"/>
        <v>0</v>
      </c>
      <c r="H148" s="130">
        <f t="shared" si="12"/>
        <v>0</v>
      </c>
      <c r="I148" s="139">
        <f t="shared" si="13"/>
        <v>0</v>
      </c>
      <c r="J148" s="67">
        <f t="shared" si="19"/>
        <v>0</v>
      </c>
      <c r="K148" s="67"/>
      <c r="L148" s="132"/>
      <c r="M148" s="67">
        <f t="shared" si="20"/>
        <v>0</v>
      </c>
      <c r="N148" s="132"/>
      <c r="O148" s="67">
        <f t="shared" si="21"/>
        <v>0</v>
      </c>
      <c r="P148" s="67">
        <f t="shared" si="22"/>
        <v>0</v>
      </c>
    </row>
    <row r="149" spans="2:16">
      <c r="B149" s="9" t="str">
        <f t="shared" si="15"/>
        <v/>
      </c>
      <c r="C149" s="62">
        <f>IF(D93="","-",+C148+1)</f>
        <v>2071</v>
      </c>
      <c r="D149" s="63">
        <f>IF(F148+SUM(E$99:E148)=D$92,F148,D$92-SUM(E$99:E148))</f>
        <v>0</v>
      </c>
      <c r="E149" s="69">
        <f t="shared" si="16"/>
        <v>0</v>
      </c>
      <c r="F149" s="68">
        <f t="shared" si="17"/>
        <v>0</v>
      </c>
      <c r="G149" s="68">
        <f t="shared" si="18"/>
        <v>0</v>
      </c>
      <c r="H149" s="130">
        <f t="shared" si="12"/>
        <v>0</v>
      </c>
      <c r="I149" s="139">
        <f t="shared" si="13"/>
        <v>0</v>
      </c>
      <c r="J149" s="67">
        <f t="shared" si="19"/>
        <v>0</v>
      </c>
      <c r="K149" s="67"/>
      <c r="L149" s="132"/>
      <c r="M149" s="67">
        <f t="shared" si="20"/>
        <v>0</v>
      </c>
      <c r="N149" s="132"/>
      <c r="O149" s="67">
        <f t="shared" si="21"/>
        <v>0</v>
      </c>
      <c r="P149" s="67">
        <f t="shared" si="22"/>
        <v>0</v>
      </c>
    </row>
    <row r="150" spans="2:16">
      <c r="B150" s="9" t="str">
        <f t="shared" si="15"/>
        <v/>
      </c>
      <c r="C150" s="62">
        <f>IF(D93="","-",+C149+1)</f>
        <v>2072</v>
      </c>
      <c r="D150" s="63">
        <f>IF(F149+SUM(E$99:E149)=D$92,F149,D$92-SUM(E$99:E149))</f>
        <v>0</v>
      </c>
      <c r="E150" s="69">
        <f t="shared" si="16"/>
        <v>0</v>
      </c>
      <c r="F150" s="68">
        <f t="shared" si="17"/>
        <v>0</v>
      </c>
      <c r="G150" s="68">
        <f t="shared" si="18"/>
        <v>0</v>
      </c>
      <c r="H150" s="130">
        <f t="shared" si="12"/>
        <v>0</v>
      </c>
      <c r="I150" s="139">
        <f t="shared" si="13"/>
        <v>0</v>
      </c>
      <c r="J150" s="67">
        <f t="shared" si="19"/>
        <v>0</v>
      </c>
      <c r="K150" s="67"/>
      <c r="L150" s="132"/>
      <c r="M150" s="67">
        <f t="shared" si="20"/>
        <v>0</v>
      </c>
      <c r="N150" s="132"/>
      <c r="O150" s="67">
        <f t="shared" si="21"/>
        <v>0</v>
      </c>
      <c r="P150" s="67">
        <f t="shared" si="22"/>
        <v>0</v>
      </c>
    </row>
    <row r="151" spans="2:16">
      <c r="B151" s="9" t="str">
        <f t="shared" si="15"/>
        <v/>
      </c>
      <c r="C151" s="62">
        <f>IF(D93="","-",+C150+1)</f>
        <v>2073</v>
      </c>
      <c r="D151" s="63">
        <f>IF(F150+SUM(E$99:E150)=D$92,F150,D$92-SUM(E$99:E150))</f>
        <v>0</v>
      </c>
      <c r="E151" s="69">
        <f t="shared" si="16"/>
        <v>0</v>
      </c>
      <c r="F151" s="68">
        <f t="shared" si="17"/>
        <v>0</v>
      </c>
      <c r="G151" s="68">
        <f t="shared" si="18"/>
        <v>0</v>
      </c>
      <c r="H151" s="130">
        <f t="shared" si="12"/>
        <v>0</v>
      </c>
      <c r="I151" s="139">
        <f t="shared" si="13"/>
        <v>0</v>
      </c>
      <c r="J151" s="67">
        <f t="shared" si="19"/>
        <v>0</v>
      </c>
      <c r="K151" s="67"/>
      <c r="L151" s="132"/>
      <c r="M151" s="67">
        <f t="shared" si="20"/>
        <v>0</v>
      </c>
      <c r="N151" s="132"/>
      <c r="O151" s="67">
        <f t="shared" si="21"/>
        <v>0</v>
      </c>
      <c r="P151" s="67">
        <f t="shared" si="22"/>
        <v>0</v>
      </c>
    </row>
    <row r="152" spans="2:16">
      <c r="B152" s="9" t="str">
        <f t="shared" si="15"/>
        <v/>
      </c>
      <c r="C152" s="62">
        <f>IF(D93="","-",+C151+1)</f>
        <v>2074</v>
      </c>
      <c r="D152" s="63">
        <f>IF(F151+SUM(E$99:E151)=D$92,F151,D$92-SUM(E$99:E151))</f>
        <v>0</v>
      </c>
      <c r="E152" s="69">
        <f t="shared" si="16"/>
        <v>0</v>
      </c>
      <c r="F152" s="68">
        <f t="shared" si="17"/>
        <v>0</v>
      </c>
      <c r="G152" s="68">
        <f t="shared" si="18"/>
        <v>0</v>
      </c>
      <c r="H152" s="130">
        <f t="shared" si="12"/>
        <v>0</v>
      </c>
      <c r="I152" s="139">
        <f t="shared" si="13"/>
        <v>0</v>
      </c>
      <c r="J152" s="67">
        <f t="shared" si="19"/>
        <v>0</v>
      </c>
      <c r="K152" s="67"/>
      <c r="L152" s="132"/>
      <c r="M152" s="67">
        <f t="shared" si="20"/>
        <v>0</v>
      </c>
      <c r="N152" s="132"/>
      <c r="O152" s="67">
        <f t="shared" si="21"/>
        <v>0</v>
      </c>
      <c r="P152" s="67">
        <f t="shared" si="22"/>
        <v>0</v>
      </c>
    </row>
    <row r="153" spans="2:16">
      <c r="B153" s="9" t="str">
        <f t="shared" si="15"/>
        <v/>
      </c>
      <c r="C153" s="62">
        <f>IF(D93="","-",+C152+1)</f>
        <v>2075</v>
      </c>
      <c r="D153" s="63">
        <f>IF(F152+SUM(E$99:E152)=D$92,F152,D$92-SUM(E$99:E152))</f>
        <v>0</v>
      </c>
      <c r="E153" s="69">
        <f t="shared" si="16"/>
        <v>0</v>
      </c>
      <c r="F153" s="68">
        <f t="shared" si="17"/>
        <v>0</v>
      </c>
      <c r="G153" s="68">
        <f t="shared" si="18"/>
        <v>0</v>
      </c>
      <c r="H153" s="130">
        <f t="shared" si="12"/>
        <v>0</v>
      </c>
      <c r="I153" s="139">
        <f t="shared" si="13"/>
        <v>0</v>
      </c>
      <c r="J153" s="67">
        <f t="shared" si="19"/>
        <v>0</v>
      </c>
      <c r="K153" s="67"/>
      <c r="L153" s="132"/>
      <c r="M153" s="67">
        <f t="shared" si="20"/>
        <v>0</v>
      </c>
      <c r="N153" s="132"/>
      <c r="O153" s="67">
        <f t="shared" si="21"/>
        <v>0</v>
      </c>
      <c r="P153" s="67">
        <f t="shared" si="22"/>
        <v>0</v>
      </c>
    </row>
    <row r="154" spans="2:16" ht="13.5" thickBot="1">
      <c r="B154" s="9" t="str">
        <f t="shared" si="15"/>
        <v/>
      </c>
      <c r="C154" s="72">
        <f>IF(D93="","-",+C153+1)</f>
        <v>2076</v>
      </c>
      <c r="D154" s="98">
        <f>IF(F153+SUM(E$99:E153)=D$92,F153,D$92-SUM(E$99:E153))</f>
        <v>0</v>
      </c>
      <c r="E154" s="74">
        <f t="shared" si="16"/>
        <v>0</v>
      </c>
      <c r="F154" s="73">
        <f t="shared" si="17"/>
        <v>0</v>
      </c>
      <c r="G154" s="73">
        <f t="shared" si="18"/>
        <v>0</v>
      </c>
      <c r="H154" s="140">
        <f t="shared" si="12"/>
        <v>0</v>
      </c>
      <c r="I154" s="141">
        <f t="shared" si="13"/>
        <v>0</v>
      </c>
      <c r="J154" s="76">
        <f t="shared" si="19"/>
        <v>0</v>
      </c>
      <c r="K154" s="67"/>
      <c r="L154" s="133"/>
      <c r="M154" s="76">
        <f t="shared" si="20"/>
        <v>0</v>
      </c>
      <c r="N154" s="133"/>
      <c r="O154" s="76">
        <f t="shared" si="21"/>
        <v>0</v>
      </c>
      <c r="P154" s="76">
        <f t="shared" si="22"/>
        <v>0</v>
      </c>
    </row>
    <row r="155" spans="2:16">
      <c r="C155" s="63" t="s">
        <v>77</v>
      </c>
      <c r="D155" s="20"/>
      <c r="E155" s="20">
        <f>SUM(E99:E154)</f>
        <v>1203704</v>
      </c>
      <c r="F155" s="20"/>
      <c r="G155" s="20"/>
      <c r="H155" s="20">
        <f>SUM(H99:H154)</f>
        <v>4080099.5051681385</v>
      </c>
      <c r="I155" s="20">
        <f>SUM(I99:I154)</f>
        <v>4080099.5051681385</v>
      </c>
      <c r="J155" s="20">
        <f>SUM(J99:J154)</f>
        <v>0</v>
      </c>
      <c r="K155" s="20"/>
      <c r="L155" s="20"/>
      <c r="M155" s="20"/>
      <c r="N155" s="20"/>
      <c r="O155" s="20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20"/>
      <c r="L156" s="3"/>
      <c r="M156" s="3"/>
      <c r="N156" s="3"/>
      <c r="O156" s="3"/>
      <c r="P156" s="1"/>
    </row>
    <row r="157" spans="2:16">
      <c r="C157" s="99"/>
      <c r="D157" s="2"/>
      <c r="E157" s="1"/>
      <c r="F157" s="1"/>
      <c r="G157" s="1"/>
      <c r="H157" s="1"/>
      <c r="I157" s="3"/>
      <c r="J157" s="3"/>
      <c r="K157" s="20"/>
      <c r="L157" s="3"/>
      <c r="M157" s="3"/>
      <c r="N157" s="3"/>
      <c r="O157" s="3"/>
      <c r="P157" s="1"/>
    </row>
    <row r="158" spans="2:16">
      <c r="C158" s="115" t="s">
        <v>148</v>
      </c>
      <c r="D158" s="2"/>
      <c r="E158" s="1"/>
      <c r="F158" s="1"/>
      <c r="G158" s="1"/>
      <c r="H158" s="1"/>
      <c r="I158" s="3"/>
      <c r="J158" s="3"/>
      <c r="K158" s="20"/>
      <c r="L158" s="3"/>
      <c r="M158" s="3"/>
      <c r="N158" s="3"/>
      <c r="O158" s="3"/>
      <c r="P158" s="1"/>
    </row>
    <row r="159" spans="2:16">
      <c r="C159" s="32" t="s">
        <v>78</v>
      </c>
      <c r="D159" s="63"/>
      <c r="E159" s="63"/>
      <c r="F159" s="63"/>
      <c r="G159" s="63"/>
      <c r="H159" s="20"/>
      <c r="I159" s="20"/>
      <c r="J159" s="78"/>
      <c r="K159" s="78"/>
      <c r="L159" s="78"/>
      <c r="M159" s="78"/>
      <c r="N159" s="78"/>
      <c r="O159" s="78"/>
      <c r="P159" s="1"/>
    </row>
    <row r="160" spans="2:16">
      <c r="C160" s="100" t="s">
        <v>79</v>
      </c>
      <c r="D160" s="63"/>
      <c r="E160" s="63"/>
      <c r="F160" s="63"/>
      <c r="G160" s="63"/>
      <c r="H160" s="20"/>
      <c r="I160" s="20"/>
      <c r="J160" s="78"/>
      <c r="K160" s="78"/>
      <c r="L160" s="78"/>
      <c r="M160" s="78"/>
      <c r="N160" s="78"/>
      <c r="O160" s="78"/>
      <c r="P160" s="1"/>
    </row>
    <row r="161" spans="3:16">
      <c r="C161" s="100"/>
      <c r="D161" s="63"/>
      <c r="E161" s="63"/>
      <c r="F161" s="63"/>
      <c r="G161" s="63"/>
      <c r="H161" s="20"/>
      <c r="I161" s="20"/>
      <c r="J161" s="78"/>
      <c r="K161" s="78"/>
      <c r="L161" s="78"/>
      <c r="M161" s="78"/>
      <c r="N161" s="78"/>
      <c r="O161" s="78"/>
      <c r="P161" s="1"/>
    </row>
    <row r="162" spans="3:16" ht="18">
      <c r="C162" s="100"/>
      <c r="D162" s="63"/>
      <c r="E162" s="63"/>
      <c r="F162" s="63"/>
      <c r="G162" s="63"/>
      <c r="H162" s="20"/>
      <c r="I162" s="20"/>
      <c r="J162" s="78"/>
      <c r="K162" s="78"/>
      <c r="L162" s="78"/>
      <c r="M162" s="78"/>
      <c r="N162" s="78"/>
      <c r="P162" s="112" t="s">
        <v>145</v>
      </c>
    </row>
  </sheetData>
  <conditionalFormatting sqref="C17:C72">
    <cfRule type="cellIs" dxfId="3" priority="1" stopIfTrue="1" operator="equal">
      <formula>$I$10</formula>
    </cfRule>
  </conditionalFormatting>
  <conditionalFormatting sqref="C99:C154">
    <cfRule type="cellIs" dxfId="2" priority="2" stopIfTrue="1" operator="equal">
      <formula>$J$92</formula>
    </cfRule>
  </conditionalFormatting>
  <pageMargins left="0.5" right="0.25" top="1" bottom="0.25" header="0.25" footer="0.5"/>
  <pageSetup scale="47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58"/>
  <dimension ref="A1:P162"/>
  <sheetViews>
    <sheetView view="pageBreakPreview" zoomScale="78" zoomScaleNormal="100" zoomScaleSheetLayoutView="78" workbookViewId="0">
      <selection sqref="A1:XFD104857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110" t="s">
        <v>147</v>
      </c>
      <c r="B1" s="1"/>
      <c r="C1" s="10"/>
      <c r="D1" s="2"/>
      <c r="E1" s="1"/>
      <c r="F1" s="15"/>
      <c r="G1" s="1"/>
      <c r="H1" s="3"/>
      <c r="J1" s="7"/>
      <c r="K1" s="19"/>
      <c r="L1" s="19"/>
      <c r="M1" s="19"/>
      <c r="P1" s="116" t="str">
        <f ca="1">"PSO Project "&amp;RIGHT(MID(CELL("filename",$A$1),FIND("]",CELL("filename",$A$1))+1,256),2)&amp;" of "&amp;COUNT('P.001:P.xyz - blank'!$P$3)-1</f>
        <v>PSO Project nk of 29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117" t="s">
        <v>150</v>
      </c>
    </row>
    <row r="3" spans="1:16" ht="18.75">
      <c r="B3" s="5" t="s">
        <v>42</v>
      </c>
      <c r="C3" s="14" t="s">
        <v>43</v>
      </c>
      <c r="D3" s="2"/>
      <c r="E3" s="1"/>
      <c r="F3" s="1"/>
      <c r="G3" s="1"/>
      <c r="H3" s="3"/>
      <c r="I3" s="3"/>
      <c r="J3" s="20"/>
      <c r="K3" s="3"/>
      <c r="L3" s="3"/>
      <c r="M3" s="3"/>
      <c r="N3" s="3"/>
      <c r="O3" s="1"/>
      <c r="P3" s="108">
        <v>1</v>
      </c>
    </row>
    <row r="4" spans="1:16" ht="15.75" thickBot="1">
      <c r="C4" s="13"/>
      <c r="D4" s="2"/>
      <c r="E4" s="1"/>
      <c r="F4" s="1"/>
      <c r="G4" s="1"/>
      <c r="H4" s="3"/>
      <c r="I4" s="3"/>
      <c r="J4" s="20"/>
      <c r="K4" s="3"/>
      <c r="L4" s="3"/>
      <c r="M4" s="3"/>
      <c r="N4" s="3"/>
      <c r="O4" s="1"/>
      <c r="P4" s="1"/>
    </row>
    <row r="5" spans="1:16" ht="15">
      <c r="C5" s="21" t="s">
        <v>44</v>
      </c>
      <c r="D5" s="2"/>
      <c r="E5" s="1"/>
      <c r="F5" s="1"/>
      <c r="G5" s="22"/>
      <c r="H5" s="1" t="s">
        <v>45</v>
      </c>
      <c r="I5" s="1"/>
      <c r="J5" s="4"/>
      <c r="K5" s="23" t="s">
        <v>284</v>
      </c>
      <c r="L5" s="24"/>
      <c r="M5" s="25"/>
      <c r="N5" s="26">
        <f>VLOOKUP(I10,C17:I72,5)</f>
        <v>0</v>
      </c>
      <c r="P5" s="1"/>
    </row>
    <row r="6" spans="1:16" ht="15.75">
      <c r="C6" s="8"/>
      <c r="D6" s="2"/>
      <c r="E6" s="1"/>
      <c r="F6" s="1"/>
      <c r="G6" s="1"/>
      <c r="H6" s="27"/>
      <c r="I6" s="27"/>
      <c r="J6" s="28"/>
      <c r="K6" s="29" t="s">
        <v>285</v>
      </c>
      <c r="L6" s="30"/>
      <c r="M6" s="4"/>
      <c r="N6" s="31">
        <f>VLOOKUP(I10,C17:I72,6)</f>
        <v>0</v>
      </c>
      <c r="O6" s="1"/>
      <c r="P6" s="1"/>
    </row>
    <row r="7" spans="1:16" ht="13.5" thickBot="1">
      <c r="C7" s="32" t="s">
        <v>46</v>
      </c>
      <c r="D7" s="104" t="s">
        <v>108</v>
      </c>
      <c r="E7" s="1"/>
      <c r="F7" s="1"/>
      <c r="G7" s="1"/>
      <c r="H7" s="3"/>
      <c r="I7" s="3"/>
      <c r="J7" s="20"/>
      <c r="K7" s="33" t="s">
        <v>47</v>
      </c>
      <c r="L7" s="34"/>
      <c r="M7" s="34"/>
      <c r="N7" s="35">
        <f>+N6-N5</f>
        <v>0</v>
      </c>
      <c r="O7" s="1"/>
      <c r="P7" s="1"/>
    </row>
    <row r="8" spans="1:16" ht="13.5" thickBot="1">
      <c r="C8" s="36"/>
      <c r="D8" s="114" t="str">
        <f>IF(D10&lt;100000,"DOES NOT MEET SPP $100,000 MINIMUM INVESTMENT FOR REGIONAL BPU SHARING.","")</f>
        <v>DOES NOT MEET SPP $100,000 MINIMUM INVESTMENT FOR REGIONAL BPU SHARING.</v>
      </c>
      <c r="E8" s="37"/>
      <c r="F8" s="37"/>
      <c r="G8" s="37"/>
      <c r="H8" s="37"/>
      <c r="I8" s="37"/>
      <c r="J8" s="16"/>
      <c r="K8" s="37"/>
      <c r="L8" s="37"/>
      <c r="M8" s="37"/>
      <c r="N8" s="37"/>
      <c r="O8" s="16"/>
      <c r="P8" s="10"/>
    </row>
    <row r="9" spans="1:16" ht="13.5" thickBot="1">
      <c r="C9" s="38" t="s">
        <v>48</v>
      </c>
      <c r="D9" s="106"/>
      <c r="E9" s="39"/>
      <c r="F9" s="39"/>
      <c r="G9" s="39"/>
      <c r="H9" s="39"/>
      <c r="I9" s="40"/>
      <c r="J9" s="41"/>
      <c r="O9" s="42"/>
      <c r="P9" s="4"/>
    </row>
    <row r="10" spans="1:16">
      <c r="C10" s="145" t="s">
        <v>226</v>
      </c>
      <c r="D10" s="43"/>
      <c r="E10" s="12" t="s">
        <v>51</v>
      </c>
      <c r="F10" s="42"/>
      <c r="G10" s="44"/>
      <c r="H10" s="44"/>
      <c r="I10" s="45">
        <f>+'PSO.WS.F.BPU.ATRR.Projected'!L19</f>
        <v>2021</v>
      </c>
      <c r="J10" s="41"/>
      <c r="K10" s="20" t="s">
        <v>52</v>
      </c>
      <c r="O10" s="4"/>
      <c r="P10" s="4"/>
    </row>
    <row r="11" spans="1:16">
      <c r="C11" s="46" t="s">
        <v>53</v>
      </c>
      <c r="D11" s="47">
        <v>2017</v>
      </c>
      <c r="E11" s="46" t="s">
        <v>54</v>
      </c>
      <c r="F11" s="44"/>
      <c r="G11" s="7"/>
      <c r="H11" s="7"/>
      <c r="I11" s="48">
        <f>IF(G5="",0,'PSO.WS.F.BPU.ATRR.Projected'!F$13)</f>
        <v>0</v>
      </c>
      <c r="J11" s="49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46" t="s">
        <v>55</v>
      </c>
      <c r="D12" s="43">
        <v>4</v>
      </c>
      <c r="E12" s="46" t="s">
        <v>56</v>
      </c>
      <c r="F12" s="44"/>
      <c r="G12" s="7"/>
      <c r="H12" s="7"/>
      <c r="I12" s="50">
        <f>'PSO.WS.F.BPU.ATRR.Projected'!$F$81</f>
        <v>0.11505633525681883</v>
      </c>
      <c r="J12" s="51"/>
      <c r="K12" t="s">
        <v>57</v>
      </c>
      <c r="O12" s="4"/>
      <c r="P12" s="4"/>
    </row>
    <row r="13" spans="1:16">
      <c r="C13" s="46" t="s">
        <v>58</v>
      </c>
      <c r="D13" s="48">
        <f>+'PSO.WS.F.BPU.ATRR.Projected'!F$93</f>
        <v>43</v>
      </c>
      <c r="E13" s="46" t="s">
        <v>59</v>
      </c>
      <c r="F13" s="44"/>
      <c r="G13" s="7"/>
      <c r="H13" s="7"/>
      <c r="I13" s="50">
        <f>IF(G5="",I12,'PSO.WS.F.BPU.ATRR.Projected'!$F$80)</f>
        <v>0.11505633525681883</v>
      </c>
      <c r="J13" s="51"/>
      <c r="K13" s="20" t="s">
        <v>60</v>
      </c>
      <c r="L13" s="11"/>
      <c r="M13" s="11"/>
      <c r="N13" s="11"/>
      <c r="O13" s="4"/>
      <c r="P13" s="4"/>
    </row>
    <row r="14" spans="1:16" ht="13.5" thickBot="1">
      <c r="C14" s="46" t="s">
        <v>61</v>
      </c>
      <c r="D14" s="47" t="s">
        <v>62</v>
      </c>
      <c r="E14" s="4" t="s">
        <v>63</v>
      </c>
      <c r="F14" s="44"/>
      <c r="G14" s="7"/>
      <c r="H14" s="7"/>
      <c r="I14" s="52">
        <f>IF(D10=0,0,D10/D13)</f>
        <v>0</v>
      </c>
      <c r="J14" s="20"/>
      <c r="K14" s="20"/>
      <c r="L14" s="20"/>
      <c r="M14" s="20"/>
      <c r="N14" s="20"/>
      <c r="O14" s="4"/>
      <c r="P14" s="4"/>
    </row>
    <row r="15" spans="1:16" ht="38.25">
      <c r="C15" s="53" t="s">
        <v>50</v>
      </c>
      <c r="D15" s="54" t="s">
        <v>64</v>
      </c>
      <c r="E15" s="54" t="s">
        <v>65</v>
      </c>
      <c r="F15" s="54" t="s">
        <v>66</v>
      </c>
      <c r="G15" s="142" t="s">
        <v>286</v>
      </c>
      <c r="H15" s="143" t="s">
        <v>287</v>
      </c>
      <c r="I15" s="53" t="s">
        <v>67</v>
      </c>
      <c r="J15" s="55"/>
      <c r="K15" s="135" t="s">
        <v>205</v>
      </c>
      <c r="L15" s="136" t="s">
        <v>68</v>
      </c>
      <c r="M15" s="135" t="s">
        <v>205</v>
      </c>
      <c r="N15" s="136" t="s">
        <v>68</v>
      </c>
      <c r="O15" s="56" t="s">
        <v>69</v>
      </c>
      <c r="P15" s="4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129" t="s">
        <v>73</v>
      </c>
      <c r="H16" s="58" t="s">
        <v>74</v>
      </c>
      <c r="I16" s="59" t="s">
        <v>104</v>
      </c>
      <c r="J16" s="60" t="s">
        <v>75</v>
      </c>
      <c r="K16" s="61" t="s">
        <v>76</v>
      </c>
      <c r="L16" s="137" t="s">
        <v>76</v>
      </c>
      <c r="M16" s="61" t="s">
        <v>105</v>
      </c>
      <c r="N16" s="138" t="s">
        <v>105</v>
      </c>
      <c r="O16" s="61" t="s">
        <v>105</v>
      </c>
      <c r="P16" s="4"/>
    </row>
    <row r="17" spans="2:16">
      <c r="B17" s="9"/>
      <c r="C17" s="62">
        <f>IF(D11= "","-",D11)</f>
        <v>2017</v>
      </c>
      <c r="D17" s="63">
        <v>0</v>
      </c>
      <c r="E17" s="64">
        <f>IF(D10&gt;=100000,I$14/12*(12-D12),0)</f>
        <v>0</v>
      </c>
      <c r="F17" s="68">
        <f>IF(D11=C17,+D10-E17,+D17-E17)</f>
        <v>0</v>
      </c>
      <c r="G17" s="64">
        <f>(D17+F17)/2*I$12+E17</f>
        <v>0</v>
      </c>
      <c r="H17" s="52">
        <f>+(D17+F17)/2*I$13+E17</f>
        <v>0</v>
      </c>
      <c r="I17" s="65">
        <f>H17-G17</f>
        <v>0</v>
      </c>
      <c r="J17" s="65"/>
      <c r="K17" s="134"/>
      <c r="L17" s="66">
        <f t="shared" ref="L17:L48" si="0">IF(K17&lt;&gt;0,+G17-K17,0)</f>
        <v>0</v>
      </c>
      <c r="M17" s="134"/>
      <c r="N17" s="66">
        <f t="shared" ref="N17:N48" si="1">IF(M17&lt;&gt;0,+H17-M17,0)</f>
        <v>0</v>
      </c>
      <c r="O17" s="67">
        <f t="shared" ref="O17:O48" si="2">+N17-L17</f>
        <v>0</v>
      </c>
      <c r="P17" s="4"/>
    </row>
    <row r="18" spans="2:16">
      <c r="B18" s="9" t="str">
        <f>IF(D18=F17,"","IU")</f>
        <v/>
      </c>
      <c r="C18" s="62">
        <f>IF(D11="","-",+C17+1)</f>
        <v>2018</v>
      </c>
      <c r="D18" s="71">
        <f>IF(F17+SUM(E$17:E17)=D$10,F17,D$10-SUM(E$17:E17))</f>
        <v>0</v>
      </c>
      <c r="E18" s="69">
        <f>IF(+I$14&lt;F17,I$14,D18)</f>
        <v>0</v>
      </c>
      <c r="F18" s="68">
        <f>+D18-E18</f>
        <v>0</v>
      </c>
      <c r="G18" s="70">
        <f>(D18+F18)/2*I$12+E18</f>
        <v>0</v>
      </c>
      <c r="H18" s="52">
        <f>+(D18+F18)/2*I$13+E18</f>
        <v>0</v>
      </c>
      <c r="I18" s="65">
        <f>H18-G18</f>
        <v>0</v>
      </c>
      <c r="J18" s="65"/>
      <c r="K18" s="132"/>
      <c r="L18" s="67">
        <f t="shared" si="0"/>
        <v>0</v>
      </c>
      <c r="M18" s="132"/>
      <c r="N18" s="67">
        <f t="shared" si="1"/>
        <v>0</v>
      </c>
      <c r="O18" s="67">
        <f t="shared" si="2"/>
        <v>0</v>
      </c>
      <c r="P18" s="4"/>
    </row>
    <row r="19" spans="2:16">
      <c r="B19" s="9" t="str">
        <f>IF(D19=F18,"","IU")</f>
        <v/>
      </c>
      <c r="C19" s="62">
        <f>IF(D11="","-",+C18+1)</f>
        <v>2019</v>
      </c>
      <c r="D19" s="71">
        <f>IF(F18+SUM(E$17:E18)=D$10,F18,D$10-SUM(E$17:E18))</f>
        <v>0</v>
      </c>
      <c r="E19" s="69">
        <f t="shared" ref="E19:E71" si="3">IF(+I$14&lt;F18,I$14,D19)</f>
        <v>0</v>
      </c>
      <c r="F19" s="68">
        <f t="shared" ref="F19:F71" si="4">+D19-E19</f>
        <v>0</v>
      </c>
      <c r="G19" s="70">
        <f t="shared" ref="G19:G71" si="5">(D19+F19)/2*I$12+E19</f>
        <v>0</v>
      </c>
      <c r="H19" s="52">
        <f t="shared" ref="H19:H71" si="6">+(D19+F19)/2*I$13+E19</f>
        <v>0</v>
      </c>
      <c r="I19" s="65">
        <f t="shared" ref="I19:I71" si="7">H19-G19</f>
        <v>0</v>
      </c>
      <c r="J19" s="65"/>
      <c r="K19" s="132"/>
      <c r="L19" s="67">
        <f t="shared" si="0"/>
        <v>0</v>
      </c>
      <c r="M19" s="132"/>
      <c r="N19" s="67">
        <f t="shared" si="1"/>
        <v>0</v>
      </c>
      <c r="O19" s="67">
        <f t="shared" si="2"/>
        <v>0</v>
      </c>
      <c r="P19" s="4"/>
    </row>
    <row r="20" spans="2:16">
      <c r="B20" s="9" t="str">
        <f t="shared" ref="B20:B72" si="8">IF(D20=F19,"","IU")</f>
        <v/>
      </c>
      <c r="C20" s="62">
        <f>IF(D11="","-",+C19+1)</f>
        <v>2020</v>
      </c>
      <c r="D20" s="71">
        <f>IF(F19+SUM(E$17:E19)=D$10,F19,D$10-SUM(E$17:E19))</f>
        <v>0</v>
      </c>
      <c r="E20" s="69">
        <f t="shared" si="3"/>
        <v>0</v>
      </c>
      <c r="F20" s="68">
        <f t="shared" si="4"/>
        <v>0</v>
      </c>
      <c r="G20" s="70">
        <f t="shared" si="5"/>
        <v>0</v>
      </c>
      <c r="H20" s="52">
        <f t="shared" si="6"/>
        <v>0</v>
      </c>
      <c r="I20" s="65">
        <f t="shared" si="7"/>
        <v>0</v>
      </c>
      <c r="J20" s="65"/>
      <c r="K20" s="132"/>
      <c r="L20" s="67">
        <f t="shared" si="0"/>
        <v>0</v>
      </c>
      <c r="M20" s="132"/>
      <c r="N20" s="67">
        <f t="shared" si="1"/>
        <v>0</v>
      </c>
      <c r="O20" s="67">
        <f t="shared" si="2"/>
        <v>0</v>
      </c>
      <c r="P20" s="4"/>
    </row>
    <row r="21" spans="2:16">
      <c r="B21" s="9" t="str">
        <f t="shared" si="8"/>
        <v/>
      </c>
      <c r="C21" s="62">
        <f>IF(D11="","-",+C20+1)</f>
        <v>2021</v>
      </c>
      <c r="D21" s="71">
        <f>IF(F20+SUM(E$17:E20)=D$10,F20,D$10-SUM(E$17:E20))</f>
        <v>0</v>
      </c>
      <c r="E21" s="69">
        <f t="shared" si="3"/>
        <v>0</v>
      </c>
      <c r="F21" s="68">
        <f t="shared" si="4"/>
        <v>0</v>
      </c>
      <c r="G21" s="70">
        <f t="shared" si="5"/>
        <v>0</v>
      </c>
      <c r="H21" s="52">
        <f t="shared" si="6"/>
        <v>0</v>
      </c>
      <c r="I21" s="65">
        <f t="shared" si="7"/>
        <v>0</v>
      </c>
      <c r="J21" s="65"/>
      <c r="K21" s="132"/>
      <c r="L21" s="67">
        <f t="shared" si="0"/>
        <v>0</v>
      </c>
      <c r="M21" s="132"/>
      <c r="N21" s="67">
        <f t="shared" si="1"/>
        <v>0</v>
      </c>
      <c r="O21" s="67">
        <f t="shared" si="2"/>
        <v>0</v>
      </c>
      <c r="P21" s="4"/>
    </row>
    <row r="22" spans="2:16">
      <c r="B22" s="9" t="str">
        <f t="shared" si="8"/>
        <v/>
      </c>
      <c r="C22" s="62">
        <f>IF(D11="","-",+C21+1)</f>
        <v>2022</v>
      </c>
      <c r="D22" s="71">
        <f>IF(F21+SUM(E$17:E21)=D$10,F21,D$10-SUM(E$17:E21))</f>
        <v>0</v>
      </c>
      <c r="E22" s="69">
        <f t="shared" si="3"/>
        <v>0</v>
      </c>
      <c r="F22" s="68">
        <f t="shared" si="4"/>
        <v>0</v>
      </c>
      <c r="G22" s="70">
        <f t="shared" si="5"/>
        <v>0</v>
      </c>
      <c r="H22" s="52">
        <f t="shared" si="6"/>
        <v>0</v>
      </c>
      <c r="I22" s="65">
        <f t="shared" si="7"/>
        <v>0</v>
      </c>
      <c r="J22" s="65"/>
      <c r="K22" s="132"/>
      <c r="L22" s="67">
        <f t="shared" si="0"/>
        <v>0</v>
      </c>
      <c r="M22" s="132"/>
      <c r="N22" s="67">
        <f t="shared" si="1"/>
        <v>0</v>
      </c>
      <c r="O22" s="67">
        <f t="shared" si="2"/>
        <v>0</v>
      </c>
      <c r="P22" s="4"/>
    </row>
    <row r="23" spans="2:16">
      <c r="B23" s="9" t="str">
        <f t="shared" si="8"/>
        <v/>
      </c>
      <c r="C23" s="62">
        <f>IF(D11="","-",+C22+1)</f>
        <v>2023</v>
      </c>
      <c r="D23" s="71">
        <f>IF(F22+SUM(E$17:E22)=D$10,F22,D$10-SUM(E$17:E22))</f>
        <v>0</v>
      </c>
      <c r="E23" s="69">
        <f t="shared" si="3"/>
        <v>0</v>
      </c>
      <c r="F23" s="68">
        <f t="shared" si="4"/>
        <v>0</v>
      </c>
      <c r="G23" s="70">
        <f t="shared" si="5"/>
        <v>0</v>
      </c>
      <c r="H23" s="52">
        <f t="shared" si="6"/>
        <v>0</v>
      </c>
      <c r="I23" s="65">
        <f t="shared" si="7"/>
        <v>0</v>
      </c>
      <c r="J23" s="65"/>
      <c r="K23" s="132"/>
      <c r="L23" s="67">
        <f t="shared" si="0"/>
        <v>0</v>
      </c>
      <c r="M23" s="132"/>
      <c r="N23" s="67">
        <f t="shared" si="1"/>
        <v>0</v>
      </c>
      <c r="O23" s="67">
        <f t="shared" si="2"/>
        <v>0</v>
      </c>
      <c r="P23" s="4"/>
    </row>
    <row r="24" spans="2:16">
      <c r="B24" s="9" t="str">
        <f t="shared" si="8"/>
        <v/>
      </c>
      <c r="C24" s="62">
        <f>IF(D11="","-",+C23+1)</f>
        <v>2024</v>
      </c>
      <c r="D24" s="71">
        <f>IF(F23+SUM(E$17:E23)=D$10,F23,D$10-SUM(E$17:E23))</f>
        <v>0</v>
      </c>
      <c r="E24" s="69">
        <f t="shared" si="3"/>
        <v>0</v>
      </c>
      <c r="F24" s="68">
        <f t="shared" si="4"/>
        <v>0</v>
      </c>
      <c r="G24" s="70">
        <f t="shared" si="5"/>
        <v>0</v>
      </c>
      <c r="H24" s="52">
        <f t="shared" si="6"/>
        <v>0</v>
      </c>
      <c r="I24" s="65">
        <f t="shared" si="7"/>
        <v>0</v>
      </c>
      <c r="J24" s="65"/>
      <c r="K24" s="132"/>
      <c r="L24" s="67">
        <f t="shared" si="0"/>
        <v>0</v>
      </c>
      <c r="M24" s="132"/>
      <c r="N24" s="67">
        <f t="shared" si="1"/>
        <v>0</v>
      </c>
      <c r="O24" s="67">
        <f t="shared" si="2"/>
        <v>0</v>
      </c>
      <c r="P24" s="4"/>
    </row>
    <row r="25" spans="2:16">
      <c r="B25" s="9" t="str">
        <f t="shared" si="8"/>
        <v/>
      </c>
      <c r="C25" s="62">
        <f>IF(D11="","-",+C24+1)</f>
        <v>2025</v>
      </c>
      <c r="D25" s="71">
        <f>IF(F24+SUM(E$17:E24)=D$10,F24,D$10-SUM(E$17:E24))</f>
        <v>0</v>
      </c>
      <c r="E25" s="69">
        <f t="shared" si="3"/>
        <v>0</v>
      </c>
      <c r="F25" s="68">
        <f t="shared" si="4"/>
        <v>0</v>
      </c>
      <c r="G25" s="70">
        <f t="shared" si="5"/>
        <v>0</v>
      </c>
      <c r="H25" s="52">
        <f t="shared" si="6"/>
        <v>0</v>
      </c>
      <c r="I25" s="65">
        <f t="shared" si="7"/>
        <v>0</v>
      </c>
      <c r="J25" s="65"/>
      <c r="K25" s="132"/>
      <c r="L25" s="67">
        <f t="shared" si="0"/>
        <v>0</v>
      </c>
      <c r="M25" s="132"/>
      <c r="N25" s="67">
        <f t="shared" si="1"/>
        <v>0</v>
      </c>
      <c r="O25" s="67">
        <f t="shared" si="2"/>
        <v>0</v>
      </c>
      <c r="P25" s="4"/>
    </row>
    <row r="26" spans="2:16">
      <c r="B26" s="9" t="str">
        <f t="shared" si="8"/>
        <v/>
      </c>
      <c r="C26" s="62">
        <f>IF(D11="","-",+C25+1)</f>
        <v>2026</v>
      </c>
      <c r="D26" s="71">
        <f>IF(F25+SUM(E$17:E25)=D$10,F25,D$10-SUM(E$17:E25))</f>
        <v>0</v>
      </c>
      <c r="E26" s="69">
        <f t="shared" si="3"/>
        <v>0</v>
      </c>
      <c r="F26" s="68">
        <f t="shared" si="4"/>
        <v>0</v>
      </c>
      <c r="G26" s="70">
        <f t="shared" si="5"/>
        <v>0</v>
      </c>
      <c r="H26" s="52">
        <f t="shared" si="6"/>
        <v>0</v>
      </c>
      <c r="I26" s="65">
        <f t="shared" si="7"/>
        <v>0</v>
      </c>
      <c r="J26" s="65"/>
      <c r="K26" s="132"/>
      <c r="L26" s="67">
        <f t="shared" si="0"/>
        <v>0</v>
      </c>
      <c r="M26" s="132"/>
      <c r="N26" s="67">
        <f t="shared" si="1"/>
        <v>0</v>
      </c>
      <c r="O26" s="67">
        <f t="shared" si="2"/>
        <v>0</v>
      </c>
      <c r="P26" s="4"/>
    </row>
    <row r="27" spans="2:16">
      <c r="B27" s="9" t="str">
        <f t="shared" si="8"/>
        <v/>
      </c>
      <c r="C27" s="62">
        <f>IF(D11="","-",+C26+1)</f>
        <v>2027</v>
      </c>
      <c r="D27" s="71">
        <f>IF(F26+SUM(E$17:E26)=D$10,F26,D$10-SUM(E$17:E26))</f>
        <v>0</v>
      </c>
      <c r="E27" s="69">
        <f t="shared" si="3"/>
        <v>0</v>
      </c>
      <c r="F27" s="68">
        <f t="shared" si="4"/>
        <v>0</v>
      </c>
      <c r="G27" s="70">
        <f t="shared" si="5"/>
        <v>0</v>
      </c>
      <c r="H27" s="52">
        <f t="shared" si="6"/>
        <v>0</v>
      </c>
      <c r="I27" s="65">
        <f t="shared" si="7"/>
        <v>0</v>
      </c>
      <c r="J27" s="65"/>
      <c r="K27" s="132"/>
      <c r="L27" s="67">
        <f t="shared" si="0"/>
        <v>0</v>
      </c>
      <c r="M27" s="132"/>
      <c r="N27" s="67">
        <f t="shared" si="1"/>
        <v>0</v>
      </c>
      <c r="O27" s="67">
        <f t="shared" si="2"/>
        <v>0</v>
      </c>
      <c r="P27" s="4"/>
    </row>
    <row r="28" spans="2:16">
      <c r="B28" s="9" t="str">
        <f t="shared" si="8"/>
        <v/>
      </c>
      <c r="C28" s="62">
        <f>IF(D11="","-",+C27+1)</f>
        <v>2028</v>
      </c>
      <c r="D28" s="71">
        <f>IF(F27+SUM(E$17:E27)=D$10,F27,D$10-SUM(E$17:E27))</f>
        <v>0</v>
      </c>
      <c r="E28" s="69">
        <f t="shared" si="3"/>
        <v>0</v>
      </c>
      <c r="F28" s="68">
        <f t="shared" si="4"/>
        <v>0</v>
      </c>
      <c r="G28" s="70">
        <f t="shared" si="5"/>
        <v>0</v>
      </c>
      <c r="H28" s="52">
        <f t="shared" si="6"/>
        <v>0</v>
      </c>
      <c r="I28" s="65">
        <f t="shared" si="7"/>
        <v>0</v>
      </c>
      <c r="J28" s="65"/>
      <c r="K28" s="132"/>
      <c r="L28" s="67">
        <f t="shared" si="0"/>
        <v>0</v>
      </c>
      <c r="M28" s="132"/>
      <c r="N28" s="67">
        <f t="shared" si="1"/>
        <v>0</v>
      </c>
      <c r="O28" s="67">
        <f t="shared" si="2"/>
        <v>0</v>
      </c>
      <c r="P28" s="4"/>
    </row>
    <row r="29" spans="2:16">
      <c r="B29" s="9" t="str">
        <f t="shared" si="8"/>
        <v/>
      </c>
      <c r="C29" s="62">
        <f>IF(D11="","-",+C28+1)</f>
        <v>2029</v>
      </c>
      <c r="D29" s="71">
        <f>IF(F28+SUM(E$17:E28)=D$10,F28,D$10-SUM(E$17:E28))</f>
        <v>0</v>
      </c>
      <c r="E29" s="69">
        <f t="shared" si="3"/>
        <v>0</v>
      </c>
      <c r="F29" s="68">
        <f t="shared" si="4"/>
        <v>0</v>
      </c>
      <c r="G29" s="70">
        <f t="shared" si="5"/>
        <v>0</v>
      </c>
      <c r="H29" s="52">
        <f t="shared" si="6"/>
        <v>0</v>
      </c>
      <c r="I29" s="65">
        <f t="shared" si="7"/>
        <v>0</v>
      </c>
      <c r="J29" s="65"/>
      <c r="K29" s="132"/>
      <c r="L29" s="67">
        <f t="shared" si="0"/>
        <v>0</v>
      </c>
      <c r="M29" s="132"/>
      <c r="N29" s="67">
        <f t="shared" si="1"/>
        <v>0</v>
      </c>
      <c r="O29" s="67">
        <f t="shared" si="2"/>
        <v>0</v>
      </c>
      <c r="P29" s="4"/>
    </row>
    <row r="30" spans="2:16">
      <c r="B30" s="9" t="str">
        <f t="shared" si="8"/>
        <v/>
      </c>
      <c r="C30" s="62">
        <f>IF(D11="","-",+C29+1)</f>
        <v>2030</v>
      </c>
      <c r="D30" s="71">
        <f>IF(F29+SUM(E$17:E29)=D$10,F29,D$10-SUM(E$17:E29))</f>
        <v>0</v>
      </c>
      <c r="E30" s="69">
        <f t="shared" si="3"/>
        <v>0</v>
      </c>
      <c r="F30" s="68">
        <f t="shared" si="4"/>
        <v>0</v>
      </c>
      <c r="G30" s="70">
        <f t="shared" si="5"/>
        <v>0</v>
      </c>
      <c r="H30" s="52">
        <f t="shared" si="6"/>
        <v>0</v>
      </c>
      <c r="I30" s="65">
        <f t="shared" si="7"/>
        <v>0</v>
      </c>
      <c r="J30" s="65"/>
      <c r="K30" s="132"/>
      <c r="L30" s="67">
        <f t="shared" si="0"/>
        <v>0</v>
      </c>
      <c r="M30" s="132"/>
      <c r="N30" s="67">
        <f t="shared" si="1"/>
        <v>0</v>
      </c>
      <c r="O30" s="67">
        <f t="shared" si="2"/>
        <v>0</v>
      </c>
      <c r="P30" s="4"/>
    </row>
    <row r="31" spans="2:16">
      <c r="B31" s="9" t="str">
        <f t="shared" si="8"/>
        <v/>
      </c>
      <c r="C31" s="62">
        <f>IF(D11="","-",+C30+1)</f>
        <v>2031</v>
      </c>
      <c r="D31" s="71">
        <f>IF(F30+SUM(E$17:E30)=D$10,F30,D$10-SUM(E$17:E30))</f>
        <v>0</v>
      </c>
      <c r="E31" s="69">
        <f t="shared" si="3"/>
        <v>0</v>
      </c>
      <c r="F31" s="68">
        <f t="shared" si="4"/>
        <v>0</v>
      </c>
      <c r="G31" s="70">
        <f t="shared" si="5"/>
        <v>0</v>
      </c>
      <c r="H31" s="52">
        <f t="shared" si="6"/>
        <v>0</v>
      </c>
      <c r="I31" s="65">
        <f t="shared" si="7"/>
        <v>0</v>
      </c>
      <c r="J31" s="65"/>
      <c r="K31" s="132"/>
      <c r="L31" s="67">
        <f t="shared" si="0"/>
        <v>0</v>
      </c>
      <c r="M31" s="132"/>
      <c r="N31" s="67">
        <f t="shared" si="1"/>
        <v>0</v>
      </c>
      <c r="O31" s="67">
        <f t="shared" si="2"/>
        <v>0</v>
      </c>
      <c r="P31" s="4"/>
    </row>
    <row r="32" spans="2:16">
      <c r="B32" s="9" t="str">
        <f t="shared" si="8"/>
        <v/>
      </c>
      <c r="C32" s="62">
        <f>IF(D11="","-",+C31+1)</f>
        <v>2032</v>
      </c>
      <c r="D32" s="71">
        <f>IF(F31+SUM(E$17:E31)=D$10,F31,D$10-SUM(E$17:E31))</f>
        <v>0</v>
      </c>
      <c r="E32" s="69">
        <f t="shared" si="3"/>
        <v>0</v>
      </c>
      <c r="F32" s="68">
        <f t="shared" si="4"/>
        <v>0</v>
      </c>
      <c r="G32" s="70">
        <f t="shared" si="5"/>
        <v>0</v>
      </c>
      <c r="H32" s="52">
        <f t="shared" si="6"/>
        <v>0</v>
      </c>
      <c r="I32" s="65">
        <f t="shared" si="7"/>
        <v>0</v>
      </c>
      <c r="J32" s="65"/>
      <c r="K32" s="132"/>
      <c r="L32" s="67">
        <f t="shared" si="0"/>
        <v>0</v>
      </c>
      <c r="M32" s="132"/>
      <c r="N32" s="67">
        <f t="shared" si="1"/>
        <v>0</v>
      </c>
      <c r="O32" s="67">
        <f t="shared" si="2"/>
        <v>0</v>
      </c>
      <c r="P32" s="4"/>
    </row>
    <row r="33" spans="2:16">
      <c r="B33" s="9" t="str">
        <f t="shared" si="8"/>
        <v/>
      </c>
      <c r="C33" s="62">
        <f>IF(D11="","-",+C32+1)</f>
        <v>2033</v>
      </c>
      <c r="D33" s="71">
        <f>IF(F32+SUM(E$17:E32)=D$10,F32,D$10-SUM(E$17:E32))</f>
        <v>0</v>
      </c>
      <c r="E33" s="69">
        <f t="shared" si="3"/>
        <v>0</v>
      </c>
      <c r="F33" s="68">
        <f t="shared" si="4"/>
        <v>0</v>
      </c>
      <c r="G33" s="70">
        <f t="shared" si="5"/>
        <v>0</v>
      </c>
      <c r="H33" s="52">
        <f t="shared" si="6"/>
        <v>0</v>
      </c>
      <c r="I33" s="65">
        <f t="shared" si="7"/>
        <v>0</v>
      </c>
      <c r="J33" s="65"/>
      <c r="K33" s="132"/>
      <c r="L33" s="67">
        <f t="shared" si="0"/>
        <v>0</v>
      </c>
      <c r="M33" s="132"/>
      <c r="N33" s="67">
        <f t="shared" si="1"/>
        <v>0</v>
      </c>
      <c r="O33" s="67">
        <f t="shared" si="2"/>
        <v>0</v>
      </c>
      <c r="P33" s="4"/>
    </row>
    <row r="34" spans="2:16">
      <c r="B34" s="9" t="str">
        <f t="shared" si="8"/>
        <v/>
      </c>
      <c r="C34" s="62">
        <f>IF(D11="","-",+C33+1)</f>
        <v>2034</v>
      </c>
      <c r="D34" s="71">
        <f>IF(F33+SUM(E$17:E33)=D$10,F33,D$10-SUM(E$17:E33))</f>
        <v>0</v>
      </c>
      <c r="E34" s="69">
        <f t="shared" si="3"/>
        <v>0</v>
      </c>
      <c r="F34" s="68">
        <f t="shared" si="4"/>
        <v>0</v>
      </c>
      <c r="G34" s="70">
        <f t="shared" si="5"/>
        <v>0</v>
      </c>
      <c r="H34" s="52">
        <f t="shared" si="6"/>
        <v>0</v>
      </c>
      <c r="I34" s="65">
        <f t="shared" si="7"/>
        <v>0</v>
      </c>
      <c r="J34" s="65"/>
      <c r="K34" s="132"/>
      <c r="L34" s="67">
        <f t="shared" si="0"/>
        <v>0</v>
      </c>
      <c r="M34" s="132"/>
      <c r="N34" s="67">
        <f t="shared" si="1"/>
        <v>0</v>
      </c>
      <c r="O34" s="67">
        <f t="shared" si="2"/>
        <v>0</v>
      </c>
      <c r="P34" s="4"/>
    </row>
    <row r="35" spans="2:16">
      <c r="B35" s="9" t="str">
        <f t="shared" si="8"/>
        <v/>
      </c>
      <c r="C35" s="62">
        <f>IF(D11="","-",+C34+1)</f>
        <v>2035</v>
      </c>
      <c r="D35" s="71">
        <f>IF(F34+SUM(E$17:E34)=D$10,F34,D$10-SUM(E$17:E34))</f>
        <v>0</v>
      </c>
      <c r="E35" s="69">
        <f t="shared" si="3"/>
        <v>0</v>
      </c>
      <c r="F35" s="68">
        <f t="shared" si="4"/>
        <v>0</v>
      </c>
      <c r="G35" s="70">
        <f t="shared" si="5"/>
        <v>0</v>
      </c>
      <c r="H35" s="52">
        <f t="shared" si="6"/>
        <v>0</v>
      </c>
      <c r="I35" s="65">
        <f t="shared" si="7"/>
        <v>0</v>
      </c>
      <c r="J35" s="65"/>
      <c r="K35" s="132"/>
      <c r="L35" s="67">
        <f t="shared" si="0"/>
        <v>0</v>
      </c>
      <c r="M35" s="132"/>
      <c r="N35" s="67">
        <f t="shared" si="1"/>
        <v>0</v>
      </c>
      <c r="O35" s="67">
        <f t="shared" si="2"/>
        <v>0</v>
      </c>
      <c r="P35" s="4"/>
    </row>
    <row r="36" spans="2:16">
      <c r="B36" s="9" t="str">
        <f t="shared" si="8"/>
        <v/>
      </c>
      <c r="C36" s="62">
        <f>IF(D11="","-",+C35+1)</f>
        <v>2036</v>
      </c>
      <c r="D36" s="71">
        <f>IF(F35+SUM(E$17:E35)=D$10,F35,D$10-SUM(E$17:E35))</f>
        <v>0</v>
      </c>
      <c r="E36" s="69">
        <f t="shared" si="3"/>
        <v>0</v>
      </c>
      <c r="F36" s="68">
        <f t="shared" si="4"/>
        <v>0</v>
      </c>
      <c r="G36" s="70">
        <f t="shared" si="5"/>
        <v>0</v>
      </c>
      <c r="H36" s="52">
        <f t="shared" si="6"/>
        <v>0</v>
      </c>
      <c r="I36" s="65">
        <f t="shared" si="7"/>
        <v>0</v>
      </c>
      <c r="J36" s="65"/>
      <c r="K36" s="132"/>
      <c r="L36" s="67">
        <f t="shared" si="0"/>
        <v>0</v>
      </c>
      <c r="M36" s="132"/>
      <c r="N36" s="67">
        <f t="shared" si="1"/>
        <v>0</v>
      </c>
      <c r="O36" s="67">
        <f t="shared" si="2"/>
        <v>0</v>
      </c>
      <c r="P36" s="4"/>
    </row>
    <row r="37" spans="2:16">
      <c r="B37" s="9" t="str">
        <f t="shared" si="8"/>
        <v/>
      </c>
      <c r="C37" s="62">
        <f>IF(D11="","-",+C36+1)</f>
        <v>2037</v>
      </c>
      <c r="D37" s="71">
        <f>IF(F36+SUM(E$17:E36)=D$10,F36,D$10-SUM(E$17:E36))</f>
        <v>0</v>
      </c>
      <c r="E37" s="69">
        <f t="shared" si="3"/>
        <v>0</v>
      </c>
      <c r="F37" s="68">
        <f t="shared" si="4"/>
        <v>0</v>
      </c>
      <c r="G37" s="70">
        <f t="shared" si="5"/>
        <v>0</v>
      </c>
      <c r="H37" s="52">
        <f t="shared" si="6"/>
        <v>0</v>
      </c>
      <c r="I37" s="65">
        <f t="shared" si="7"/>
        <v>0</v>
      </c>
      <c r="J37" s="65"/>
      <c r="K37" s="132"/>
      <c r="L37" s="67">
        <f t="shared" si="0"/>
        <v>0</v>
      </c>
      <c r="M37" s="132"/>
      <c r="N37" s="67">
        <f t="shared" si="1"/>
        <v>0</v>
      </c>
      <c r="O37" s="67">
        <f t="shared" si="2"/>
        <v>0</v>
      </c>
      <c r="P37" s="4"/>
    </row>
    <row r="38" spans="2:16">
      <c r="B38" s="9" t="str">
        <f t="shared" si="8"/>
        <v/>
      </c>
      <c r="C38" s="62">
        <f>IF(D11="","-",+C37+1)</f>
        <v>2038</v>
      </c>
      <c r="D38" s="71">
        <f>IF(F37+SUM(E$17:E37)=D$10,F37,D$10-SUM(E$17:E37))</f>
        <v>0</v>
      </c>
      <c r="E38" s="69">
        <f t="shared" si="3"/>
        <v>0</v>
      </c>
      <c r="F38" s="68">
        <f t="shared" si="4"/>
        <v>0</v>
      </c>
      <c r="G38" s="70">
        <f t="shared" si="5"/>
        <v>0</v>
      </c>
      <c r="H38" s="52">
        <f t="shared" si="6"/>
        <v>0</v>
      </c>
      <c r="I38" s="65">
        <f t="shared" si="7"/>
        <v>0</v>
      </c>
      <c r="J38" s="65"/>
      <c r="K38" s="132"/>
      <c r="L38" s="67">
        <f t="shared" si="0"/>
        <v>0</v>
      </c>
      <c r="M38" s="132"/>
      <c r="N38" s="67">
        <f t="shared" si="1"/>
        <v>0</v>
      </c>
      <c r="O38" s="67">
        <f t="shared" si="2"/>
        <v>0</v>
      </c>
      <c r="P38" s="4"/>
    </row>
    <row r="39" spans="2:16">
      <c r="B39" s="9" t="str">
        <f t="shared" si="8"/>
        <v/>
      </c>
      <c r="C39" s="62">
        <f>IF(D11="","-",+C38+1)</f>
        <v>2039</v>
      </c>
      <c r="D39" s="71">
        <f>IF(F38+SUM(E$17:E38)=D$10,F38,D$10-SUM(E$17:E38))</f>
        <v>0</v>
      </c>
      <c r="E39" s="69">
        <f t="shared" si="3"/>
        <v>0</v>
      </c>
      <c r="F39" s="68">
        <f t="shared" si="4"/>
        <v>0</v>
      </c>
      <c r="G39" s="70">
        <f t="shared" si="5"/>
        <v>0</v>
      </c>
      <c r="H39" s="52">
        <f t="shared" si="6"/>
        <v>0</v>
      </c>
      <c r="I39" s="65">
        <f t="shared" si="7"/>
        <v>0</v>
      </c>
      <c r="J39" s="65"/>
      <c r="K39" s="132"/>
      <c r="L39" s="67">
        <f t="shared" si="0"/>
        <v>0</v>
      </c>
      <c r="M39" s="132"/>
      <c r="N39" s="67">
        <f t="shared" si="1"/>
        <v>0</v>
      </c>
      <c r="O39" s="67">
        <f t="shared" si="2"/>
        <v>0</v>
      </c>
      <c r="P39" s="4"/>
    </row>
    <row r="40" spans="2:16">
      <c r="B40" s="9" t="str">
        <f t="shared" si="8"/>
        <v/>
      </c>
      <c r="C40" s="62">
        <f>IF(D11="","-",+C39+1)</f>
        <v>2040</v>
      </c>
      <c r="D40" s="71">
        <f>IF(F39+SUM(E$17:E39)=D$10,F39,D$10-SUM(E$17:E39))</f>
        <v>0</v>
      </c>
      <c r="E40" s="69">
        <f t="shared" si="3"/>
        <v>0</v>
      </c>
      <c r="F40" s="68">
        <f t="shared" si="4"/>
        <v>0</v>
      </c>
      <c r="G40" s="70">
        <f t="shared" si="5"/>
        <v>0</v>
      </c>
      <c r="H40" s="52">
        <f t="shared" si="6"/>
        <v>0</v>
      </c>
      <c r="I40" s="65">
        <f t="shared" si="7"/>
        <v>0</v>
      </c>
      <c r="J40" s="65"/>
      <c r="K40" s="132"/>
      <c r="L40" s="67">
        <f t="shared" si="0"/>
        <v>0</v>
      </c>
      <c r="M40" s="132"/>
      <c r="N40" s="67">
        <f t="shared" si="1"/>
        <v>0</v>
      </c>
      <c r="O40" s="67">
        <f t="shared" si="2"/>
        <v>0</v>
      </c>
      <c r="P40" s="4"/>
    </row>
    <row r="41" spans="2:16">
      <c r="B41" s="9" t="str">
        <f t="shared" si="8"/>
        <v/>
      </c>
      <c r="C41" s="62">
        <f>IF(D11="","-",+C40+1)</f>
        <v>2041</v>
      </c>
      <c r="D41" s="71">
        <f>IF(F40+SUM(E$17:E40)=D$10,F40,D$10-SUM(E$17:E40))</f>
        <v>0</v>
      </c>
      <c r="E41" s="69">
        <f t="shared" si="3"/>
        <v>0</v>
      </c>
      <c r="F41" s="68">
        <f t="shared" si="4"/>
        <v>0</v>
      </c>
      <c r="G41" s="70">
        <f t="shared" si="5"/>
        <v>0</v>
      </c>
      <c r="H41" s="52">
        <f t="shared" si="6"/>
        <v>0</v>
      </c>
      <c r="I41" s="65">
        <f t="shared" si="7"/>
        <v>0</v>
      </c>
      <c r="J41" s="65"/>
      <c r="K41" s="132"/>
      <c r="L41" s="67">
        <f t="shared" si="0"/>
        <v>0</v>
      </c>
      <c r="M41" s="132"/>
      <c r="N41" s="67">
        <f t="shared" si="1"/>
        <v>0</v>
      </c>
      <c r="O41" s="67">
        <f t="shared" si="2"/>
        <v>0</v>
      </c>
      <c r="P41" s="4"/>
    </row>
    <row r="42" spans="2:16">
      <c r="B42" s="9" t="str">
        <f t="shared" si="8"/>
        <v/>
      </c>
      <c r="C42" s="62">
        <f>IF(D11="","-",+C41+1)</f>
        <v>2042</v>
      </c>
      <c r="D42" s="71">
        <f>IF(F41+SUM(E$17:E41)=D$10,F41,D$10-SUM(E$17:E41))</f>
        <v>0</v>
      </c>
      <c r="E42" s="69">
        <f t="shared" si="3"/>
        <v>0</v>
      </c>
      <c r="F42" s="68">
        <f t="shared" si="4"/>
        <v>0</v>
      </c>
      <c r="G42" s="70">
        <f t="shared" si="5"/>
        <v>0</v>
      </c>
      <c r="H42" s="52">
        <f t="shared" si="6"/>
        <v>0</v>
      </c>
      <c r="I42" s="65">
        <f t="shared" si="7"/>
        <v>0</v>
      </c>
      <c r="J42" s="65"/>
      <c r="K42" s="132"/>
      <c r="L42" s="67">
        <f t="shared" si="0"/>
        <v>0</v>
      </c>
      <c r="M42" s="132"/>
      <c r="N42" s="67">
        <f t="shared" si="1"/>
        <v>0</v>
      </c>
      <c r="O42" s="67">
        <f t="shared" si="2"/>
        <v>0</v>
      </c>
      <c r="P42" s="4"/>
    </row>
    <row r="43" spans="2:16">
      <c r="B43" s="9" t="str">
        <f t="shared" si="8"/>
        <v/>
      </c>
      <c r="C43" s="62">
        <f>IF(D11="","-",+C42+1)</f>
        <v>2043</v>
      </c>
      <c r="D43" s="71">
        <f>IF(F42+SUM(E$17:E42)=D$10,F42,D$10-SUM(E$17:E42))</f>
        <v>0</v>
      </c>
      <c r="E43" s="69">
        <f t="shared" si="3"/>
        <v>0</v>
      </c>
      <c r="F43" s="68">
        <f t="shared" si="4"/>
        <v>0</v>
      </c>
      <c r="G43" s="70">
        <f t="shared" si="5"/>
        <v>0</v>
      </c>
      <c r="H43" s="52">
        <f t="shared" si="6"/>
        <v>0</v>
      </c>
      <c r="I43" s="65">
        <f t="shared" si="7"/>
        <v>0</v>
      </c>
      <c r="J43" s="65"/>
      <c r="K43" s="132"/>
      <c r="L43" s="67">
        <f t="shared" si="0"/>
        <v>0</v>
      </c>
      <c r="M43" s="132"/>
      <c r="N43" s="67">
        <f t="shared" si="1"/>
        <v>0</v>
      </c>
      <c r="O43" s="67">
        <f t="shared" si="2"/>
        <v>0</v>
      </c>
      <c r="P43" s="4"/>
    </row>
    <row r="44" spans="2:16">
      <c r="B44" s="9" t="str">
        <f t="shared" si="8"/>
        <v/>
      </c>
      <c r="C44" s="62">
        <f>IF(D11="","-",+C43+1)</f>
        <v>2044</v>
      </c>
      <c r="D44" s="71">
        <f>IF(F43+SUM(E$17:E43)=D$10,F43,D$10-SUM(E$17:E43))</f>
        <v>0</v>
      </c>
      <c r="E44" s="69">
        <f t="shared" si="3"/>
        <v>0</v>
      </c>
      <c r="F44" s="68">
        <f t="shared" si="4"/>
        <v>0</v>
      </c>
      <c r="G44" s="70">
        <f t="shared" si="5"/>
        <v>0</v>
      </c>
      <c r="H44" s="52">
        <f t="shared" si="6"/>
        <v>0</v>
      </c>
      <c r="I44" s="65">
        <f t="shared" si="7"/>
        <v>0</v>
      </c>
      <c r="J44" s="65"/>
      <c r="K44" s="132"/>
      <c r="L44" s="67">
        <f t="shared" si="0"/>
        <v>0</v>
      </c>
      <c r="M44" s="132"/>
      <c r="N44" s="67">
        <f t="shared" si="1"/>
        <v>0</v>
      </c>
      <c r="O44" s="67">
        <f t="shared" si="2"/>
        <v>0</v>
      </c>
      <c r="P44" s="4"/>
    </row>
    <row r="45" spans="2:16">
      <c r="B45" s="9" t="str">
        <f t="shared" si="8"/>
        <v/>
      </c>
      <c r="C45" s="62">
        <f>IF(D11="","-",+C44+1)</f>
        <v>2045</v>
      </c>
      <c r="D45" s="71">
        <f>IF(F44+SUM(E$17:E44)=D$10,F44,D$10-SUM(E$17:E44))</f>
        <v>0</v>
      </c>
      <c r="E45" s="69">
        <f t="shared" si="3"/>
        <v>0</v>
      </c>
      <c r="F45" s="68">
        <f t="shared" si="4"/>
        <v>0</v>
      </c>
      <c r="G45" s="70">
        <f t="shared" si="5"/>
        <v>0</v>
      </c>
      <c r="H45" s="52">
        <f t="shared" si="6"/>
        <v>0</v>
      </c>
      <c r="I45" s="65">
        <f t="shared" si="7"/>
        <v>0</v>
      </c>
      <c r="J45" s="65"/>
      <c r="K45" s="132"/>
      <c r="L45" s="67">
        <f t="shared" si="0"/>
        <v>0</v>
      </c>
      <c r="M45" s="132"/>
      <c r="N45" s="67">
        <f t="shared" si="1"/>
        <v>0</v>
      </c>
      <c r="O45" s="67">
        <f t="shared" si="2"/>
        <v>0</v>
      </c>
      <c r="P45" s="4"/>
    </row>
    <row r="46" spans="2:16">
      <c r="B46" s="9" t="str">
        <f t="shared" si="8"/>
        <v/>
      </c>
      <c r="C46" s="62">
        <f>IF(D11="","-",+C45+1)</f>
        <v>2046</v>
      </c>
      <c r="D46" s="71">
        <f>IF(F45+SUM(E$17:E45)=D$10,F45,D$10-SUM(E$17:E45))</f>
        <v>0</v>
      </c>
      <c r="E46" s="69">
        <f t="shared" si="3"/>
        <v>0</v>
      </c>
      <c r="F46" s="68">
        <f t="shared" si="4"/>
        <v>0</v>
      </c>
      <c r="G46" s="70">
        <f t="shared" si="5"/>
        <v>0</v>
      </c>
      <c r="H46" s="52">
        <f t="shared" si="6"/>
        <v>0</v>
      </c>
      <c r="I46" s="65">
        <f t="shared" si="7"/>
        <v>0</v>
      </c>
      <c r="J46" s="65"/>
      <c r="K46" s="132"/>
      <c r="L46" s="67">
        <f t="shared" si="0"/>
        <v>0</v>
      </c>
      <c r="M46" s="132"/>
      <c r="N46" s="67">
        <f t="shared" si="1"/>
        <v>0</v>
      </c>
      <c r="O46" s="67">
        <f t="shared" si="2"/>
        <v>0</v>
      </c>
      <c r="P46" s="4"/>
    </row>
    <row r="47" spans="2:16">
      <c r="B47" s="9" t="str">
        <f t="shared" si="8"/>
        <v/>
      </c>
      <c r="C47" s="62">
        <f>IF(D11="","-",+C46+1)</f>
        <v>2047</v>
      </c>
      <c r="D47" s="71">
        <f>IF(F46+SUM(E$17:E46)=D$10,F46,D$10-SUM(E$17:E46))</f>
        <v>0</v>
      </c>
      <c r="E47" s="69">
        <f t="shared" si="3"/>
        <v>0</v>
      </c>
      <c r="F47" s="68">
        <f t="shared" si="4"/>
        <v>0</v>
      </c>
      <c r="G47" s="70">
        <f t="shared" si="5"/>
        <v>0</v>
      </c>
      <c r="H47" s="52">
        <f t="shared" si="6"/>
        <v>0</v>
      </c>
      <c r="I47" s="65">
        <f t="shared" si="7"/>
        <v>0</v>
      </c>
      <c r="J47" s="65"/>
      <c r="K47" s="132"/>
      <c r="L47" s="67">
        <f t="shared" si="0"/>
        <v>0</v>
      </c>
      <c r="M47" s="132"/>
      <c r="N47" s="67">
        <f t="shared" si="1"/>
        <v>0</v>
      </c>
      <c r="O47" s="67">
        <f t="shared" si="2"/>
        <v>0</v>
      </c>
      <c r="P47" s="4"/>
    </row>
    <row r="48" spans="2:16">
      <c r="B48" s="9" t="str">
        <f t="shared" si="8"/>
        <v/>
      </c>
      <c r="C48" s="62">
        <f>IF(D11="","-",+C47+1)</f>
        <v>2048</v>
      </c>
      <c r="D48" s="71">
        <f>IF(F47+SUM(E$17:E47)=D$10,F47,D$10-SUM(E$17:E47))</f>
        <v>0</v>
      </c>
      <c r="E48" s="69">
        <f t="shared" si="3"/>
        <v>0</v>
      </c>
      <c r="F48" s="68">
        <f t="shared" si="4"/>
        <v>0</v>
      </c>
      <c r="G48" s="70">
        <f t="shared" si="5"/>
        <v>0</v>
      </c>
      <c r="H48" s="52">
        <f t="shared" si="6"/>
        <v>0</v>
      </c>
      <c r="I48" s="65">
        <f t="shared" si="7"/>
        <v>0</v>
      </c>
      <c r="J48" s="65"/>
      <c r="K48" s="132"/>
      <c r="L48" s="67">
        <f t="shared" si="0"/>
        <v>0</v>
      </c>
      <c r="M48" s="132"/>
      <c r="N48" s="67">
        <f t="shared" si="1"/>
        <v>0</v>
      </c>
      <c r="O48" s="67">
        <f t="shared" si="2"/>
        <v>0</v>
      </c>
      <c r="P48" s="4"/>
    </row>
    <row r="49" spans="2:16">
      <c r="B49" s="9" t="str">
        <f t="shared" si="8"/>
        <v/>
      </c>
      <c r="C49" s="62">
        <f>IF(D11="","-",+C48+1)</f>
        <v>2049</v>
      </c>
      <c r="D49" s="71">
        <f>IF(F48+SUM(E$17:E48)=D$10,F48,D$10-SUM(E$17:E48))</f>
        <v>0</v>
      </c>
      <c r="E49" s="69">
        <f t="shared" si="3"/>
        <v>0</v>
      </c>
      <c r="F49" s="68">
        <f t="shared" si="4"/>
        <v>0</v>
      </c>
      <c r="G49" s="70">
        <f t="shared" si="5"/>
        <v>0</v>
      </c>
      <c r="H49" s="52">
        <f t="shared" si="6"/>
        <v>0</v>
      </c>
      <c r="I49" s="65">
        <f t="shared" si="7"/>
        <v>0</v>
      </c>
      <c r="J49" s="65"/>
      <c r="K49" s="132"/>
      <c r="L49" s="67">
        <f t="shared" ref="L49:L72" si="9">IF(K49&lt;&gt;0,+G49-K49,0)</f>
        <v>0</v>
      </c>
      <c r="M49" s="132"/>
      <c r="N49" s="67">
        <f t="shared" ref="N49:N72" si="10">IF(M49&lt;&gt;0,+H49-M49,0)</f>
        <v>0</v>
      </c>
      <c r="O49" s="67">
        <f t="shared" ref="O49:O72" si="11">+N49-L49</f>
        <v>0</v>
      </c>
      <c r="P49" s="4"/>
    </row>
    <row r="50" spans="2:16">
      <c r="B50" s="9" t="str">
        <f t="shared" si="8"/>
        <v/>
      </c>
      <c r="C50" s="62">
        <f>IF(D11="","-",+C49+1)</f>
        <v>2050</v>
      </c>
      <c r="D50" s="71">
        <f>IF(F49+SUM(E$17:E49)=D$10,F49,D$10-SUM(E$17:E49))</f>
        <v>0</v>
      </c>
      <c r="E50" s="69">
        <f t="shared" si="3"/>
        <v>0</v>
      </c>
      <c r="F50" s="68">
        <f t="shared" si="4"/>
        <v>0</v>
      </c>
      <c r="G50" s="70">
        <f t="shared" si="5"/>
        <v>0</v>
      </c>
      <c r="H50" s="52">
        <f t="shared" si="6"/>
        <v>0</v>
      </c>
      <c r="I50" s="65">
        <f t="shared" si="7"/>
        <v>0</v>
      </c>
      <c r="J50" s="65"/>
      <c r="K50" s="132"/>
      <c r="L50" s="67">
        <f t="shared" si="9"/>
        <v>0</v>
      </c>
      <c r="M50" s="132"/>
      <c r="N50" s="67">
        <f t="shared" si="10"/>
        <v>0</v>
      </c>
      <c r="O50" s="67">
        <f t="shared" si="11"/>
        <v>0</v>
      </c>
      <c r="P50" s="4"/>
    </row>
    <row r="51" spans="2:16">
      <c r="B51" s="9" t="str">
        <f t="shared" si="8"/>
        <v/>
      </c>
      <c r="C51" s="62">
        <f>IF(D11="","-",+C50+1)</f>
        <v>2051</v>
      </c>
      <c r="D51" s="71">
        <f>IF(F50+SUM(E$17:E50)=D$10,F50,D$10-SUM(E$17:E50))</f>
        <v>0</v>
      </c>
      <c r="E51" s="69">
        <f t="shared" si="3"/>
        <v>0</v>
      </c>
      <c r="F51" s="68">
        <f t="shared" si="4"/>
        <v>0</v>
      </c>
      <c r="G51" s="70">
        <f t="shared" si="5"/>
        <v>0</v>
      </c>
      <c r="H51" s="52">
        <f t="shared" si="6"/>
        <v>0</v>
      </c>
      <c r="I51" s="65">
        <f t="shared" si="7"/>
        <v>0</v>
      </c>
      <c r="J51" s="65"/>
      <c r="K51" s="132"/>
      <c r="L51" s="67">
        <f t="shared" si="9"/>
        <v>0</v>
      </c>
      <c r="M51" s="132"/>
      <c r="N51" s="67">
        <f t="shared" si="10"/>
        <v>0</v>
      </c>
      <c r="O51" s="67">
        <f t="shared" si="11"/>
        <v>0</v>
      </c>
      <c r="P51" s="4"/>
    </row>
    <row r="52" spans="2:16">
      <c r="B52" s="9" t="str">
        <f t="shared" si="8"/>
        <v/>
      </c>
      <c r="C52" s="62">
        <f>IF(D11="","-",+C51+1)</f>
        <v>2052</v>
      </c>
      <c r="D52" s="71">
        <f>IF(F51+SUM(E$17:E51)=D$10,F51,D$10-SUM(E$17:E51))</f>
        <v>0</v>
      </c>
      <c r="E52" s="69">
        <f t="shared" si="3"/>
        <v>0</v>
      </c>
      <c r="F52" s="68">
        <f t="shared" si="4"/>
        <v>0</v>
      </c>
      <c r="G52" s="70">
        <f t="shared" si="5"/>
        <v>0</v>
      </c>
      <c r="H52" s="52">
        <f t="shared" si="6"/>
        <v>0</v>
      </c>
      <c r="I52" s="65">
        <f t="shared" si="7"/>
        <v>0</v>
      </c>
      <c r="J52" s="65"/>
      <c r="K52" s="132"/>
      <c r="L52" s="67">
        <f t="shared" si="9"/>
        <v>0</v>
      </c>
      <c r="M52" s="132"/>
      <c r="N52" s="67">
        <f t="shared" si="10"/>
        <v>0</v>
      </c>
      <c r="O52" s="67">
        <f t="shared" si="11"/>
        <v>0</v>
      </c>
      <c r="P52" s="4"/>
    </row>
    <row r="53" spans="2:16">
      <c r="B53" s="9" t="str">
        <f t="shared" si="8"/>
        <v/>
      </c>
      <c r="C53" s="62">
        <f>IF(D11="","-",+C52+1)</f>
        <v>2053</v>
      </c>
      <c r="D53" s="71">
        <f>IF(F52+SUM(E$17:E52)=D$10,F52,D$10-SUM(E$17:E52))</f>
        <v>0</v>
      </c>
      <c r="E53" s="69">
        <f t="shared" si="3"/>
        <v>0</v>
      </c>
      <c r="F53" s="68">
        <f t="shared" si="4"/>
        <v>0</v>
      </c>
      <c r="G53" s="70">
        <f t="shared" si="5"/>
        <v>0</v>
      </c>
      <c r="H53" s="52">
        <f t="shared" si="6"/>
        <v>0</v>
      </c>
      <c r="I53" s="65">
        <f t="shared" si="7"/>
        <v>0</v>
      </c>
      <c r="J53" s="65"/>
      <c r="K53" s="132"/>
      <c r="L53" s="67">
        <f t="shared" si="9"/>
        <v>0</v>
      </c>
      <c r="M53" s="132"/>
      <c r="N53" s="67">
        <f t="shared" si="10"/>
        <v>0</v>
      </c>
      <c r="O53" s="67">
        <f t="shared" si="11"/>
        <v>0</v>
      </c>
      <c r="P53" s="4"/>
    </row>
    <row r="54" spans="2:16">
      <c r="B54" s="9" t="str">
        <f t="shared" si="8"/>
        <v/>
      </c>
      <c r="C54" s="62">
        <f>IF(D11="","-",+C53+1)</f>
        <v>2054</v>
      </c>
      <c r="D54" s="71">
        <f>IF(F53+SUM(E$17:E53)=D$10,F53,D$10-SUM(E$17:E53))</f>
        <v>0</v>
      </c>
      <c r="E54" s="69">
        <f t="shared" si="3"/>
        <v>0</v>
      </c>
      <c r="F54" s="68">
        <f t="shared" si="4"/>
        <v>0</v>
      </c>
      <c r="G54" s="70">
        <f t="shared" si="5"/>
        <v>0</v>
      </c>
      <c r="H54" s="52">
        <f t="shared" si="6"/>
        <v>0</v>
      </c>
      <c r="I54" s="65">
        <f t="shared" si="7"/>
        <v>0</v>
      </c>
      <c r="J54" s="65"/>
      <c r="K54" s="132"/>
      <c r="L54" s="67">
        <f t="shared" si="9"/>
        <v>0</v>
      </c>
      <c r="M54" s="132"/>
      <c r="N54" s="67">
        <f t="shared" si="10"/>
        <v>0</v>
      </c>
      <c r="O54" s="67">
        <f t="shared" si="11"/>
        <v>0</v>
      </c>
      <c r="P54" s="4"/>
    </row>
    <row r="55" spans="2:16">
      <c r="B55" s="9" t="str">
        <f t="shared" si="8"/>
        <v/>
      </c>
      <c r="C55" s="62">
        <f>IF(D11="","-",+C54+1)</f>
        <v>2055</v>
      </c>
      <c r="D55" s="71">
        <f>IF(F54+SUM(E$17:E54)=D$10,F54,D$10-SUM(E$17:E54))</f>
        <v>0</v>
      </c>
      <c r="E55" s="69">
        <f t="shared" si="3"/>
        <v>0</v>
      </c>
      <c r="F55" s="68">
        <f t="shared" si="4"/>
        <v>0</v>
      </c>
      <c r="G55" s="70">
        <f t="shared" si="5"/>
        <v>0</v>
      </c>
      <c r="H55" s="52">
        <f t="shared" si="6"/>
        <v>0</v>
      </c>
      <c r="I55" s="65">
        <f t="shared" si="7"/>
        <v>0</v>
      </c>
      <c r="J55" s="65"/>
      <c r="K55" s="132"/>
      <c r="L55" s="67">
        <f t="shared" si="9"/>
        <v>0</v>
      </c>
      <c r="M55" s="132"/>
      <c r="N55" s="67">
        <f t="shared" si="10"/>
        <v>0</v>
      </c>
      <c r="O55" s="67">
        <f t="shared" si="11"/>
        <v>0</v>
      </c>
      <c r="P55" s="4"/>
    </row>
    <row r="56" spans="2:16">
      <c r="B56" s="9" t="str">
        <f t="shared" si="8"/>
        <v/>
      </c>
      <c r="C56" s="62">
        <f>IF(D11="","-",+C55+1)</f>
        <v>2056</v>
      </c>
      <c r="D56" s="71">
        <f>IF(F55+SUM(E$17:E55)=D$10,F55,D$10-SUM(E$17:E55))</f>
        <v>0</v>
      </c>
      <c r="E56" s="69">
        <f t="shared" si="3"/>
        <v>0</v>
      </c>
      <c r="F56" s="68">
        <f t="shared" si="4"/>
        <v>0</v>
      </c>
      <c r="G56" s="70">
        <f t="shared" si="5"/>
        <v>0</v>
      </c>
      <c r="H56" s="52">
        <f t="shared" si="6"/>
        <v>0</v>
      </c>
      <c r="I56" s="65">
        <f t="shared" si="7"/>
        <v>0</v>
      </c>
      <c r="J56" s="65"/>
      <c r="K56" s="132"/>
      <c r="L56" s="67">
        <f t="shared" si="9"/>
        <v>0</v>
      </c>
      <c r="M56" s="132"/>
      <c r="N56" s="67">
        <f t="shared" si="10"/>
        <v>0</v>
      </c>
      <c r="O56" s="67">
        <f t="shared" si="11"/>
        <v>0</v>
      </c>
      <c r="P56" s="4"/>
    </row>
    <row r="57" spans="2:16">
      <c r="B57" s="9" t="str">
        <f t="shared" si="8"/>
        <v/>
      </c>
      <c r="C57" s="62">
        <f>IF(D11="","-",+C56+1)</f>
        <v>2057</v>
      </c>
      <c r="D57" s="71">
        <f>IF(F56+SUM(E$17:E56)=D$10,F56,D$10-SUM(E$17:E56))</f>
        <v>0</v>
      </c>
      <c r="E57" s="69">
        <f t="shared" si="3"/>
        <v>0</v>
      </c>
      <c r="F57" s="68">
        <f t="shared" si="4"/>
        <v>0</v>
      </c>
      <c r="G57" s="70">
        <f t="shared" si="5"/>
        <v>0</v>
      </c>
      <c r="H57" s="52">
        <f t="shared" si="6"/>
        <v>0</v>
      </c>
      <c r="I57" s="65">
        <f t="shared" si="7"/>
        <v>0</v>
      </c>
      <c r="J57" s="65"/>
      <c r="K57" s="132"/>
      <c r="L57" s="67">
        <f t="shared" si="9"/>
        <v>0</v>
      </c>
      <c r="M57" s="132"/>
      <c r="N57" s="67">
        <f t="shared" si="10"/>
        <v>0</v>
      </c>
      <c r="O57" s="67">
        <f t="shared" si="11"/>
        <v>0</v>
      </c>
      <c r="P57" s="4"/>
    </row>
    <row r="58" spans="2:16">
      <c r="B58" s="9" t="str">
        <f t="shared" si="8"/>
        <v/>
      </c>
      <c r="C58" s="62">
        <f>IF(D11="","-",+C57+1)</f>
        <v>2058</v>
      </c>
      <c r="D58" s="71">
        <f>IF(F57+SUM(E$17:E57)=D$10,F57,D$10-SUM(E$17:E57))</f>
        <v>0</v>
      </c>
      <c r="E58" s="69">
        <f t="shared" si="3"/>
        <v>0</v>
      </c>
      <c r="F58" s="68">
        <f t="shared" si="4"/>
        <v>0</v>
      </c>
      <c r="G58" s="70">
        <f t="shared" si="5"/>
        <v>0</v>
      </c>
      <c r="H58" s="52">
        <f t="shared" si="6"/>
        <v>0</v>
      </c>
      <c r="I58" s="65">
        <f t="shared" si="7"/>
        <v>0</v>
      </c>
      <c r="J58" s="65"/>
      <c r="K58" s="132"/>
      <c r="L58" s="67">
        <f t="shared" si="9"/>
        <v>0</v>
      </c>
      <c r="M58" s="132"/>
      <c r="N58" s="67">
        <f t="shared" si="10"/>
        <v>0</v>
      </c>
      <c r="O58" s="67">
        <f t="shared" si="11"/>
        <v>0</v>
      </c>
      <c r="P58" s="4"/>
    </row>
    <row r="59" spans="2:16">
      <c r="B59" s="9" t="str">
        <f t="shared" si="8"/>
        <v/>
      </c>
      <c r="C59" s="62">
        <f>IF(D11="","-",+C58+1)</f>
        <v>2059</v>
      </c>
      <c r="D59" s="71">
        <f>IF(F58+SUM(E$17:E58)=D$10,F58,D$10-SUM(E$17:E58))</f>
        <v>0</v>
      </c>
      <c r="E59" s="69">
        <f t="shared" si="3"/>
        <v>0</v>
      </c>
      <c r="F59" s="68">
        <f t="shared" si="4"/>
        <v>0</v>
      </c>
      <c r="G59" s="70">
        <f t="shared" si="5"/>
        <v>0</v>
      </c>
      <c r="H59" s="52">
        <f t="shared" si="6"/>
        <v>0</v>
      </c>
      <c r="I59" s="65">
        <f t="shared" si="7"/>
        <v>0</v>
      </c>
      <c r="J59" s="65"/>
      <c r="K59" s="132"/>
      <c r="L59" s="67">
        <f t="shared" si="9"/>
        <v>0</v>
      </c>
      <c r="M59" s="132"/>
      <c r="N59" s="67">
        <f t="shared" si="10"/>
        <v>0</v>
      </c>
      <c r="O59" s="67">
        <f t="shared" si="11"/>
        <v>0</v>
      </c>
      <c r="P59" s="4"/>
    </row>
    <row r="60" spans="2:16">
      <c r="B60" s="9" t="str">
        <f t="shared" si="8"/>
        <v/>
      </c>
      <c r="C60" s="62">
        <f>IF(D11="","-",+C59+1)</f>
        <v>2060</v>
      </c>
      <c r="D60" s="71">
        <f>IF(F59+SUM(E$17:E59)=D$10,F59,D$10-SUM(E$17:E59))</f>
        <v>0</v>
      </c>
      <c r="E60" s="69">
        <f t="shared" si="3"/>
        <v>0</v>
      </c>
      <c r="F60" s="68">
        <f t="shared" si="4"/>
        <v>0</v>
      </c>
      <c r="G60" s="70">
        <f t="shared" si="5"/>
        <v>0</v>
      </c>
      <c r="H60" s="52">
        <f t="shared" si="6"/>
        <v>0</v>
      </c>
      <c r="I60" s="65">
        <f t="shared" si="7"/>
        <v>0</v>
      </c>
      <c r="J60" s="65"/>
      <c r="K60" s="132"/>
      <c r="L60" s="67">
        <f t="shared" si="9"/>
        <v>0</v>
      </c>
      <c r="M60" s="132"/>
      <c r="N60" s="67">
        <f t="shared" si="10"/>
        <v>0</v>
      </c>
      <c r="O60" s="67">
        <f t="shared" si="11"/>
        <v>0</v>
      </c>
      <c r="P60" s="4"/>
    </row>
    <row r="61" spans="2:16">
      <c r="B61" s="9" t="str">
        <f t="shared" si="8"/>
        <v/>
      </c>
      <c r="C61" s="62">
        <f>IF(D11="","-",+C60+1)</f>
        <v>2061</v>
      </c>
      <c r="D61" s="71">
        <f>IF(F60+SUM(E$17:E60)=D$10,F60,D$10-SUM(E$17:E60))</f>
        <v>0</v>
      </c>
      <c r="E61" s="69">
        <f t="shared" si="3"/>
        <v>0</v>
      </c>
      <c r="F61" s="68">
        <f t="shared" si="4"/>
        <v>0</v>
      </c>
      <c r="G61" s="70">
        <f t="shared" si="5"/>
        <v>0</v>
      </c>
      <c r="H61" s="52">
        <f t="shared" si="6"/>
        <v>0</v>
      </c>
      <c r="I61" s="65">
        <f t="shared" si="7"/>
        <v>0</v>
      </c>
      <c r="J61" s="65"/>
      <c r="K61" s="132"/>
      <c r="L61" s="67">
        <f t="shared" si="9"/>
        <v>0</v>
      </c>
      <c r="M61" s="132"/>
      <c r="N61" s="67">
        <f t="shared" si="10"/>
        <v>0</v>
      </c>
      <c r="O61" s="67">
        <f t="shared" si="11"/>
        <v>0</v>
      </c>
      <c r="P61" s="4"/>
    </row>
    <row r="62" spans="2:16">
      <c r="B62" s="9" t="str">
        <f t="shared" si="8"/>
        <v/>
      </c>
      <c r="C62" s="62">
        <f>IF(D11="","-",+C61+1)</f>
        <v>2062</v>
      </c>
      <c r="D62" s="71">
        <f>IF(F61+SUM(E$17:E61)=D$10,F61,D$10-SUM(E$17:E61))</f>
        <v>0</v>
      </c>
      <c r="E62" s="69">
        <f t="shared" si="3"/>
        <v>0</v>
      </c>
      <c r="F62" s="68">
        <f t="shared" si="4"/>
        <v>0</v>
      </c>
      <c r="G62" s="70">
        <f t="shared" si="5"/>
        <v>0</v>
      </c>
      <c r="H62" s="52">
        <f t="shared" si="6"/>
        <v>0</v>
      </c>
      <c r="I62" s="65">
        <f t="shared" si="7"/>
        <v>0</v>
      </c>
      <c r="J62" s="65"/>
      <c r="K62" s="132"/>
      <c r="L62" s="67">
        <f t="shared" si="9"/>
        <v>0</v>
      </c>
      <c r="M62" s="132"/>
      <c r="N62" s="67">
        <f t="shared" si="10"/>
        <v>0</v>
      </c>
      <c r="O62" s="67">
        <f t="shared" si="11"/>
        <v>0</v>
      </c>
      <c r="P62" s="4"/>
    </row>
    <row r="63" spans="2:16">
      <c r="B63" s="9" t="str">
        <f t="shared" si="8"/>
        <v/>
      </c>
      <c r="C63" s="62">
        <f>IF(D11="","-",+C62+1)</f>
        <v>2063</v>
      </c>
      <c r="D63" s="71">
        <f>IF(F62+SUM(E$17:E62)=D$10,F62,D$10-SUM(E$17:E62))</f>
        <v>0</v>
      </c>
      <c r="E63" s="69">
        <f t="shared" si="3"/>
        <v>0</v>
      </c>
      <c r="F63" s="68">
        <f t="shared" si="4"/>
        <v>0</v>
      </c>
      <c r="G63" s="70">
        <f t="shared" si="5"/>
        <v>0</v>
      </c>
      <c r="H63" s="52">
        <f t="shared" si="6"/>
        <v>0</v>
      </c>
      <c r="I63" s="65">
        <f t="shared" si="7"/>
        <v>0</v>
      </c>
      <c r="J63" s="65"/>
      <c r="K63" s="132"/>
      <c r="L63" s="67">
        <f t="shared" si="9"/>
        <v>0</v>
      </c>
      <c r="M63" s="132"/>
      <c r="N63" s="67">
        <f t="shared" si="10"/>
        <v>0</v>
      </c>
      <c r="O63" s="67">
        <f t="shared" si="11"/>
        <v>0</v>
      </c>
      <c r="P63" s="4"/>
    </row>
    <row r="64" spans="2:16">
      <c r="B64" s="9" t="str">
        <f t="shared" si="8"/>
        <v/>
      </c>
      <c r="C64" s="62">
        <f>IF(D11="","-",+C63+1)</f>
        <v>2064</v>
      </c>
      <c r="D64" s="71">
        <f>IF(F63+SUM(E$17:E63)=D$10,F63,D$10-SUM(E$17:E63))</f>
        <v>0</v>
      </c>
      <c r="E64" s="69">
        <f t="shared" si="3"/>
        <v>0</v>
      </c>
      <c r="F64" s="68">
        <f t="shared" si="4"/>
        <v>0</v>
      </c>
      <c r="G64" s="70">
        <f t="shared" si="5"/>
        <v>0</v>
      </c>
      <c r="H64" s="52">
        <f t="shared" si="6"/>
        <v>0</v>
      </c>
      <c r="I64" s="65">
        <f t="shared" si="7"/>
        <v>0</v>
      </c>
      <c r="J64" s="65"/>
      <c r="K64" s="132"/>
      <c r="L64" s="67">
        <f t="shared" si="9"/>
        <v>0</v>
      </c>
      <c r="M64" s="132"/>
      <c r="N64" s="67">
        <f t="shared" si="10"/>
        <v>0</v>
      </c>
      <c r="O64" s="67">
        <f t="shared" si="11"/>
        <v>0</v>
      </c>
      <c r="P64" s="4"/>
    </row>
    <row r="65" spans="2:16">
      <c r="B65" s="9" t="str">
        <f t="shared" si="8"/>
        <v/>
      </c>
      <c r="C65" s="62">
        <f>IF(D11="","-",+C64+1)</f>
        <v>2065</v>
      </c>
      <c r="D65" s="71">
        <f>IF(F64+SUM(E$17:E64)=D$10,F64,D$10-SUM(E$17:E64))</f>
        <v>0</v>
      </c>
      <c r="E65" s="69">
        <f t="shared" si="3"/>
        <v>0</v>
      </c>
      <c r="F65" s="68">
        <f t="shared" si="4"/>
        <v>0</v>
      </c>
      <c r="G65" s="70">
        <f t="shared" si="5"/>
        <v>0</v>
      </c>
      <c r="H65" s="52">
        <f t="shared" si="6"/>
        <v>0</v>
      </c>
      <c r="I65" s="65">
        <f t="shared" si="7"/>
        <v>0</v>
      </c>
      <c r="J65" s="65"/>
      <c r="K65" s="132"/>
      <c r="L65" s="67">
        <f t="shared" si="9"/>
        <v>0</v>
      </c>
      <c r="M65" s="132"/>
      <c r="N65" s="67">
        <f t="shared" si="10"/>
        <v>0</v>
      </c>
      <c r="O65" s="67">
        <f t="shared" si="11"/>
        <v>0</v>
      </c>
      <c r="P65" s="4"/>
    </row>
    <row r="66" spans="2:16">
      <c r="B66" s="9" t="str">
        <f t="shared" si="8"/>
        <v/>
      </c>
      <c r="C66" s="62">
        <f>IF(D11="","-",+C65+1)</f>
        <v>2066</v>
      </c>
      <c r="D66" s="71">
        <f>IF(F65+SUM(E$17:E65)=D$10,F65,D$10-SUM(E$17:E65))</f>
        <v>0</v>
      </c>
      <c r="E66" s="69">
        <f t="shared" si="3"/>
        <v>0</v>
      </c>
      <c r="F66" s="68">
        <f t="shared" si="4"/>
        <v>0</v>
      </c>
      <c r="G66" s="70">
        <f t="shared" si="5"/>
        <v>0</v>
      </c>
      <c r="H66" s="52">
        <f t="shared" si="6"/>
        <v>0</v>
      </c>
      <c r="I66" s="65">
        <f t="shared" si="7"/>
        <v>0</v>
      </c>
      <c r="J66" s="65"/>
      <c r="K66" s="132"/>
      <c r="L66" s="67">
        <f t="shared" si="9"/>
        <v>0</v>
      </c>
      <c r="M66" s="132"/>
      <c r="N66" s="67">
        <f t="shared" si="10"/>
        <v>0</v>
      </c>
      <c r="O66" s="67">
        <f t="shared" si="11"/>
        <v>0</v>
      </c>
      <c r="P66" s="4"/>
    </row>
    <row r="67" spans="2:16">
      <c r="B67" s="9" t="str">
        <f t="shared" si="8"/>
        <v/>
      </c>
      <c r="C67" s="62">
        <f>IF(D11="","-",+C66+1)</f>
        <v>2067</v>
      </c>
      <c r="D67" s="71">
        <f>IF(F66+SUM(E$17:E66)=D$10,F66,D$10-SUM(E$17:E66))</f>
        <v>0</v>
      </c>
      <c r="E67" s="69">
        <f t="shared" si="3"/>
        <v>0</v>
      </c>
      <c r="F67" s="68">
        <f t="shared" si="4"/>
        <v>0</v>
      </c>
      <c r="G67" s="70">
        <f t="shared" si="5"/>
        <v>0</v>
      </c>
      <c r="H67" s="52">
        <f t="shared" si="6"/>
        <v>0</v>
      </c>
      <c r="I67" s="65">
        <f t="shared" si="7"/>
        <v>0</v>
      </c>
      <c r="J67" s="65"/>
      <c r="K67" s="132"/>
      <c r="L67" s="67">
        <f t="shared" si="9"/>
        <v>0</v>
      </c>
      <c r="M67" s="132"/>
      <c r="N67" s="67">
        <f t="shared" si="10"/>
        <v>0</v>
      </c>
      <c r="O67" s="67">
        <f t="shared" si="11"/>
        <v>0</v>
      </c>
      <c r="P67" s="4"/>
    </row>
    <row r="68" spans="2:16">
      <c r="B68" s="9" t="str">
        <f t="shared" si="8"/>
        <v/>
      </c>
      <c r="C68" s="62">
        <f>IF(D11="","-",+C67+1)</f>
        <v>2068</v>
      </c>
      <c r="D68" s="71">
        <f>IF(F67+SUM(E$17:E67)=D$10,F67,D$10-SUM(E$17:E67))</f>
        <v>0</v>
      </c>
      <c r="E68" s="69">
        <f t="shared" si="3"/>
        <v>0</v>
      </c>
      <c r="F68" s="68">
        <f t="shared" si="4"/>
        <v>0</v>
      </c>
      <c r="G68" s="70">
        <f t="shared" si="5"/>
        <v>0</v>
      </c>
      <c r="H68" s="52">
        <f t="shared" si="6"/>
        <v>0</v>
      </c>
      <c r="I68" s="65">
        <f t="shared" si="7"/>
        <v>0</v>
      </c>
      <c r="J68" s="65"/>
      <c r="K68" s="132"/>
      <c r="L68" s="67">
        <f t="shared" si="9"/>
        <v>0</v>
      </c>
      <c r="M68" s="132"/>
      <c r="N68" s="67">
        <f t="shared" si="10"/>
        <v>0</v>
      </c>
      <c r="O68" s="67">
        <f t="shared" si="11"/>
        <v>0</v>
      </c>
      <c r="P68" s="4"/>
    </row>
    <row r="69" spans="2:16">
      <c r="B69" s="9" t="str">
        <f t="shared" si="8"/>
        <v/>
      </c>
      <c r="C69" s="62">
        <f>IF(D11="","-",+C68+1)</f>
        <v>2069</v>
      </c>
      <c r="D69" s="71">
        <f>IF(F68+SUM(E$17:E68)=D$10,F68,D$10-SUM(E$17:E68))</f>
        <v>0</v>
      </c>
      <c r="E69" s="69">
        <f t="shared" si="3"/>
        <v>0</v>
      </c>
      <c r="F69" s="68">
        <f t="shared" si="4"/>
        <v>0</v>
      </c>
      <c r="G69" s="70">
        <f t="shared" si="5"/>
        <v>0</v>
      </c>
      <c r="H69" s="52">
        <f t="shared" si="6"/>
        <v>0</v>
      </c>
      <c r="I69" s="65">
        <f t="shared" si="7"/>
        <v>0</v>
      </c>
      <c r="J69" s="65"/>
      <c r="K69" s="132"/>
      <c r="L69" s="67">
        <f t="shared" si="9"/>
        <v>0</v>
      </c>
      <c r="M69" s="132"/>
      <c r="N69" s="67">
        <f t="shared" si="10"/>
        <v>0</v>
      </c>
      <c r="O69" s="67">
        <f t="shared" si="11"/>
        <v>0</v>
      </c>
      <c r="P69" s="4"/>
    </row>
    <row r="70" spans="2:16">
      <c r="B70" s="9" t="str">
        <f t="shared" si="8"/>
        <v/>
      </c>
      <c r="C70" s="62">
        <f>IF(D11="","-",+C69+1)</f>
        <v>2070</v>
      </c>
      <c r="D70" s="71">
        <f>IF(F69+SUM(E$17:E69)=D$10,F69,D$10-SUM(E$17:E69))</f>
        <v>0</v>
      </c>
      <c r="E70" s="69">
        <f t="shared" si="3"/>
        <v>0</v>
      </c>
      <c r="F70" s="68">
        <f t="shared" si="4"/>
        <v>0</v>
      </c>
      <c r="G70" s="70">
        <f t="shared" si="5"/>
        <v>0</v>
      </c>
      <c r="H70" s="52">
        <f t="shared" si="6"/>
        <v>0</v>
      </c>
      <c r="I70" s="65">
        <f t="shared" si="7"/>
        <v>0</v>
      </c>
      <c r="J70" s="65"/>
      <c r="K70" s="132"/>
      <c r="L70" s="67">
        <f t="shared" si="9"/>
        <v>0</v>
      </c>
      <c r="M70" s="132"/>
      <c r="N70" s="67">
        <f t="shared" si="10"/>
        <v>0</v>
      </c>
      <c r="O70" s="67">
        <f t="shared" si="11"/>
        <v>0</v>
      </c>
      <c r="P70" s="4"/>
    </row>
    <row r="71" spans="2:16">
      <c r="B71" s="9" t="str">
        <f t="shared" si="8"/>
        <v/>
      </c>
      <c r="C71" s="62">
        <f>IF(D11="","-",+C70+1)</f>
        <v>2071</v>
      </c>
      <c r="D71" s="71">
        <f>IF(F70+SUM(E$17:E70)=D$10,F70,D$10-SUM(E$17:E70))</f>
        <v>0</v>
      </c>
      <c r="E71" s="69">
        <f t="shared" si="3"/>
        <v>0</v>
      </c>
      <c r="F71" s="68">
        <f t="shared" si="4"/>
        <v>0</v>
      </c>
      <c r="G71" s="70">
        <f t="shared" si="5"/>
        <v>0</v>
      </c>
      <c r="H71" s="52">
        <f t="shared" si="6"/>
        <v>0</v>
      </c>
      <c r="I71" s="65">
        <f t="shared" si="7"/>
        <v>0</v>
      </c>
      <c r="J71" s="65"/>
      <c r="K71" s="132"/>
      <c r="L71" s="67">
        <f t="shared" si="9"/>
        <v>0</v>
      </c>
      <c r="M71" s="132"/>
      <c r="N71" s="67">
        <f t="shared" si="10"/>
        <v>0</v>
      </c>
      <c r="O71" s="67">
        <f t="shared" si="11"/>
        <v>0</v>
      </c>
      <c r="P71" s="4"/>
    </row>
    <row r="72" spans="2:16" ht="13.5" thickBot="1">
      <c r="B72" s="9" t="str">
        <f t="shared" si="8"/>
        <v/>
      </c>
      <c r="C72" s="72">
        <f>IF(D11="","-",+C71+1)</f>
        <v>2072</v>
      </c>
      <c r="D72" s="147">
        <f>IF(F71+SUM(E$17:E71)=D$10,F71,D$10-SUM(E$17:E71))</f>
        <v>0</v>
      </c>
      <c r="E72" s="74">
        <f>IF(+I$14&lt;F71,I$14,D72)</f>
        <v>0</v>
      </c>
      <c r="F72" s="73">
        <f>+D72-E72</f>
        <v>0</v>
      </c>
      <c r="G72" s="146">
        <f>(D72+F72)/2*I$12+E72</f>
        <v>0</v>
      </c>
      <c r="H72" s="35">
        <f>+(D72+F72)/2*I$13+E72</f>
        <v>0</v>
      </c>
      <c r="I72" s="75">
        <f>H72-G72</f>
        <v>0</v>
      </c>
      <c r="J72" s="65"/>
      <c r="K72" s="133"/>
      <c r="L72" s="76">
        <f t="shared" si="9"/>
        <v>0</v>
      </c>
      <c r="M72" s="133"/>
      <c r="N72" s="76">
        <f t="shared" si="10"/>
        <v>0</v>
      </c>
      <c r="O72" s="76">
        <f t="shared" si="11"/>
        <v>0</v>
      </c>
      <c r="P72" s="4"/>
    </row>
    <row r="73" spans="2:16">
      <c r="C73" s="63" t="s">
        <v>77</v>
      </c>
      <c r="D73" s="20"/>
      <c r="E73" s="20">
        <f>SUM(E17:E72)</f>
        <v>0</v>
      </c>
      <c r="F73" s="20"/>
      <c r="G73" s="20">
        <f>SUM(G17:G72)</f>
        <v>0</v>
      </c>
      <c r="H73" s="20">
        <f>SUM(H17:H72)</f>
        <v>0</v>
      </c>
      <c r="I73" s="20">
        <f>SUM(I17:I72)</f>
        <v>0</v>
      </c>
      <c r="J73" s="20"/>
      <c r="K73" s="20"/>
      <c r="L73" s="20"/>
      <c r="M73" s="20"/>
      <c r="N73" s="20"/>
      <c r="O73" s="4"/>
      <c r="P73" s="4"/>
    </row>
    <row r="74" spans="2:16">
      <c r="D74" s="2"/>
      <c r="E74" s="1"/>
      <c r="F74" s="1"/>
      <c r="G74" s="1"/>
      <c r="H74" s="3"/>
      <c r="I74" s="3"/>
      <c r="J74" s="20"/>
      <c r="K74" s="3"/>
      <c r="L74" s="3"/>
      <c r="M74" s="3"/>
      <c r="N74" s="3"/>
      <c r="O74" s="1"/>
      <c r="P74" s="1"/>
    </row>
    <row r="75" spans="2:16">
      <c r="C75" s="77" t="s">
        <v>106</v>
      </c>
      <c r="D75" s="2"/>
      <c r="E75" s="1"/>
      <c r="F75" s="1"/>
      <c r="G75" s="1"/>
      <c r="H75" s="3"/>
      <c r="I75" s="3"/>
      <c r="J75" s="20"/>
      <c r="K75" s="3"/>
      <c r="L75" s="3"/>
      <c r="M75" s="3"/>
      <c r="N75" s="3"/>
      <c r="O75" s="1"/>
      <c r="P75" s="1"/>
    </row>
    <row r="76" spans="2:16">
      <c r="C76" s="32" t="s">
        <v>78</v>
      </c>
      <c r="D76" s="2"/>
      <c r="E76" s="1"/>
      <c r="F76" s="1"/>
      <c r="G76" s="1"/>
      <c r="H76" s="3"/>
      <c r="I76" s="3"/>
      <c r="J76" s="20"/>
      <c r="K76" s="3"/>
      <c r="L76" s="3"/>
      <c r="M76" s="3"/>
      <c r="N76" s="3"/>
      <c r="O76" s="4"/>
      <c r="P76" s="4"/>
    </row>
    <row r="77" spans="2:16">
      <c r="C77" s="32" t="s">
        <v>79</v>
      </c>
      <c r="D77" s="63"/>
      <c r="E77" s="63"/>
      <c r="F77" s="63"/>
      <c r="G77" s="20"/>
      <c r="H77" s="20"/>
      <c r="I77" s="78"/>
      <c r="J77" s="78"/>
      <c r="K77" s="78"/>
      <c r="L77" s="78"/>
      <c r="M77" s="78"/>
      <c r="N77" s="78"/>
      <c r="O77" s="4"/>
      <c r="P77" s="4"/>
    </row>
    <row r="78" spans="2:16">
      <c r="C78" s="32"/>
      <c r="D78" s="63"/>
      <c r="E78" s="63"/>
      <c r="F78" s="63"/>
      <c r="G78" s="20"/>
      <c r="H78" s="20"/>
      <c r="I78" s="78"/>
      <c r="J78" s="78"/>
      <c r="K78" s="78"/>
      <c r="L78" s="78"/>
      <c r="M78" s="78"/>
      <c r="N78" s="78"/>
      <c r="O78" s="4"/>
      <c r="P78" s="1"/>
    </row>
    <row r="79" spans="2:16">
      <c r="B79" s="1"/>
      <c r="C79" s="10"/>
      <c r="D79" s="2"/>
      <c r="E79" s="1"/>
      <c r="F79" s="18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109"/>
      <c r="D80" s="2"/>
      <c r="E80" s="1"/>
      <c r="F80" s="18"/>
      <c r="G80" s="1"/>
      <c r="H80" s="3"/>
      <c r="I80" s="1"/>
      <c r="J80" s="4"/>
      <c r="K80" s="1"/>
      <c r="L80" s="1"/>
      <c r="M80" s="1"/>
      <c r="N80" s="1"/>
      <c r="P80" s="111" t="s">
        <v>144</v>
      </c>
    </row>
    <row r="81" spans="1:16">
      <c r="B81" s="1"/>
      <c r="C81" s="10"/>
      <c r="D81" s="2"/>
      <c r="E81" s="1"/>
      <c r="F81" s="18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10"/>
      <c r="D82" s="2"/>
      <c r="E82" s="1"/>
      <c r="F82" s="18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110" t="s">
        <v>146</v>
      </c>
      <c r="B83" s="1"/>
      <c r="C83" s="10"/>
      <c r="D83" s="2"/>
      <c r="E83" s="1"/>
      <c r="F83" s="15"/>
      <c r="G83" s="15"/>
      <c r="H83" s="1"/>
      <c r="I83" s="3"/>
      <c r="K83" s="7"/>
      <c r="L83" s="19"/>
      <c r="M83" s="19"/>
      <c r="P83" s="19" t="str">
        <f ca="1">P1</f>
        <v>PSO Project nk of 29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117" t="s">
        <v>151</v>
      </c>
    </row>
    <row r="85" spans="1:16" ht="18.75" thickBot="1">
      <c r="B85" s="5" t="s">
        <v>42</v>
      </c>
      <c r="C85" s="80" t="s">
        <v>91</v>
      </c>
      <c r="D85" s="2"/>
      <c r="E85" s="1"/>
      <c r="F85" s="1"/>
      <c r="G85" s="1"/>
      <c r="H85" s="1"/>
      <c r="I85" s="3"/>
      <c r="J85" s="3"/>
      <c r="K85" s="20"/>
      <c r="L85" s="3"/>
      <c r="M85" s="3"/>
      <c r="N85" s="3"/>
      <c r="O85" s="20"/>
      <c r="P85" s="1"/>
    </row>
    <row r="86" spans="1:16" ht="15.75" thickBot="1">
      <c r="C86" s="13"/>
      <c r="D86" s="2"/>
      <c r="E86" s="1"/>
      <c r="F86" s="1"/>
      <c r="G86" s="1"/>
      <c r="H86" s="1"/>
      <c r="I86" s="3"/>
      <c r="J86" s="3"/>
      <c r="K86" s="20"/>
      <c r="L86" s="118">
        <f>+J92</f>
        <v>2021</v>
      </c>
      <c r="M86" s="119" t="s">
        <v>8</v>
      </c>
      <c r="N86" s="120" t="s">
        <v>153</v>
      </c>
      <c r="O86" s="121" t="s">
        <v>10</v>
      </c>
      <c r="P86" s="1"/>
    </row>
    <row r="87" spans="1:16" ht="15">
      <c r="C87" s="107" t="s">
        <v>44</v>
      </c>
      <c r="D87" s="2"/>
      <c r="E87" s="1"/>
      <c r="F87" s="1"/>
      <c r="G87" s="1"/>
      <c r="H87" s="22"/>
      <c r="I87" s="1" t="s">
        <v>45</v>
      </c>
      <c r="J87" s="1"/>
      <c r="K87" s="122"/>
      <c r="L87" s="123" t="s">
        <v>154</v>
      </c>
      <c r="M87" s="81">
        <f>IF(J92&lt;D11,0,VLOOKUP(J92,C17:O72,9))</f>
        <v>0</v>
      </c>
      <c r="N87" s="81">
        <f>IF(J92&lt;D11,0,VLOOKUP(J92,C17:O72,11))</f>
        <v>0</v>
      </c>
      <c r="O87" s="82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27"/>
      <c r="J88" s="27"/>
      <c r="K88" s="124"/>
      <c r="L88" s="125" t="s">
        <v>155</v>
      </c>
      <c r="M88" s="83">
        <f>IF(J92&lt;D11,0,VLOOKUP(J92,C99:P154,6))</f>
        <v>0</v>
      </c>
      <c r="N88" s="83">
        <f>IF(J92&lt;D11,0,VLOOKUP(J92,C99:P154,7))</f>
        <v>0</v>
      </c>
      <c r="O88" s="84">
        <f>+N88-M88</f>
        <v>0</v>
      </c>
      <c r="P88" s="1"/>
    </row>
    <row r="89" spans="1:16" ht="13.5" thickBot="1">
      <c r="C89" s="32" t="s">
        <v>92</v>
      </c>
      <c r="D89" s="113" t="str">
        <f>+D7</f>
        <v>inset project name here</v>
      </c>
      <c r="E89" s="1"/>
      <c r="F89" s="1"/>
      <c r="G89" s="1"/>
      <c r="H89" s="1"/>
      <c r="I89" s="3"/>
      <c r="J89" s="3"/>
      <c r="K89" s="126"/>
      <c r="L89" s="127" t="s">
        <v>156</v>
      </c>
      <c r="M89" s="86">
        <f>+M88-M87</f>
        <v>0</v>
      </c>
      <c r="N89" s="86">
        <f>+N88-N87</f>
        <v>0</v>
      </c>
      <c r="O89" s="87">
        <f>+O88-O87</f>
        <v>0</v>
      </c>
      <c r="P89" s="1"/>
    </row>
    <row r="90" spans="1:16" ht="13.5" thickBot="1">
      <c r="C90" s="77"/>
      <c r="D90" s="79" t="str">
        <f>D8</f>
        <v>DOES NOT MEET SPP $100,000 MINIMUM INVESTMENT FOR REGIONAL BPU SHARING.</v>
      </c>
      <c r="E90" s="18"/>
      <c r="F90" s="18"/>
      <c r="G90" s="18"/>
      <c r="H90" s="37"/>
      <c r="I90" s="3"/>
      <c r="J90" s="3"/>
      <c r="K90" s="20"/>
      <c r="L90" s="3"/>
      <c r="M90" s="3"/>
      <c r="N90" s="3"/>
      <c r="O90" s="20"/>
      <c r="P90" s="1"/>
    </row>
    <row r="91" spans="1:16" ht="13.5" thickBot="1">
      <c r="A91" s="17"/>
      <c r="C91" s="88" t="s">
        <v>93</v>
      </c>
      <c r="D91" s="105">
        <f>+D9</f>
        <v>0</v>
      </c>
      <c r="E91" s="89"/>
      <c r="F91" s="89"/>
      <c r="G91" s="89"/>
      <c r="H91" s="89"/>
      <c r="I91" s="89"/>
      <c r="J91" s="89"/>
      <c r="K91" s="90"/>
      <c r="P91" s="42"/>
    </row>
    <row r="92" spans="1:16">
      <c r="C92" s="145" t="s">
        <v>226</v>
      </c>
      <c r="D92" s="101">
        <f>IF(D11=I10,0,D10)</f>
        <v>0</v>
      </c>
      <c r="E92" s="10" t="s">
        <v>94</v>
      </c>
      <c r="H92" s="44"/>
      <c r="I92" s="44"/>
      <c r="J92" s="45">
        <f>+'PSO.WS.G.BPU.ATRR.True-up'!M16</f>
        <v>2021</v>
      </c>
      <c r="K92" s="41"/>
      <c r="L92" s="20" t="s">
        <v>95</v>
      </c>
      <c r="P92" s="4"/>
    </row>
    <row r="93" spans="1:16">
      <c r="C93" s="46" t="s">
        <v>53</v>
      </c>
      <c r="D93" s="102">
        <v>2015</v>
      </c>
      <c r="E93" s="46" t="s">
        <v>54</v>
      </c>
      <c r="F93" s="44"/>
      <c r="G93" s="44"/>
      <c r="J93" s="48">
        <f>IF(H87="",0,'PSO.WS.G.BPU.ATRR.True-up'!$F$13)</f>
        <v>0</v>
      </c>
      <c r="K93" s="49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46" t="s">
        <v>55</v>
      </c>
      <c r="D94" s="101">
        <f>IF(D11=I10,"",D12)</f>
        <v>4</v>
      </c>
      <c r="E94" s="46" t="s">
        <v>56</v>
      </c>
      <c r="F94" s="44"/>
      <c r="G94" s="44"/>
      <c r="J94" s="50">
        <f>'PSO.WS.G.BPU.ATRR.True-up'!$F$81</f>
        <v>0.11379279303146381</v>
      </c>
      <c r="K94" s="51"/>
      <c r="L94" t="s">
        <v>96</v>
      </c>
      <c r="P94" s="4"/>
    </row>
    <row r="95" spans="1:16">
      <c r="C95" s="46" t="s">
        <v>58</v>
      </c>
      <c r="D95" s="48">
        <f>'PSO.WS.G.BPU.ATRR.True-up'!F$93</f>
        <v>41</v>
      </c>
      <c r="E95" s="46" t="s">
        <v>59</v>
      </c>
      <c r="F95" s="44"/>
      <c r="G95" s="44"/>
      <c r="J95" s="50">
        <f>IF(H87="",J94,'PSO.WS.G.BPU.ATRR.True-up'!$F$80)</f>
        <v>0.11379279303146381</v>
      </c>
      <c r="K95" s="11"/>
      <c r="L95" s="20" t="s">
        <v>60</v>
      </c>
      <c r="M95" s="11"/>
      <c r="N95" s="11"/>
      <c r="O95" s="11"/>
      <c r="P95" s="4"/>
    </row>
    <row r="96" spans="1:16" ht="13.5" thickBot="1">
      <c r="C96" s="46" t="s">
        <v>61</v>
      </c>
      <c r="D96" s="103" t="str">
        <f>+D14</f>
        <v>No</v>
      </c>
      <c r="E96" s="85" t="s">
        <v>63</v>
      </c>
      <c r="F96" s="91"/>
      <c r="G96" s="91"/>
      <c r="H96" s="92"/>
      <c r="I96" s="92"/>
      <c r="J96" s="35">
        <f>IF(D92=0,0,ROUND(D92/D95,0))</f>
        <v>0</v>
      </c>
      <c r="K96" s="20"/>
      <c r="L96" s="20"/>
      <c r="M96" s="20"/>
      <c r="N96" s="20"/>
      <c r="O96" s="20"/>
      <c r="P96" s="4"/>
    </row>
    <row r="97" spans="1:16" ht="38.25">
      <c r="A97" s="6"/>
      <c r="B97" s="6"/>
      <c r="C97" s="93" t="s">
        <v>50</v>
      </c>
      <c r="D97" s="94" t="s">
        <v>64</v>
      </c>
      <c r="E97" s="56" t="s">
        <v>65</v>
      </c>
      <c r="F97" s="56" t="s">
        <v>66</v>
      </c>
      <c r="G97" s="54" t="s">
        <v>97</v>
      </c>
      <c r="H97" s="144" t="s">
        <v>286</v>
      </c>
      <c r="I97" s="135" t="s">
        <v>287</v>
      </c>
      <c r="J97" s="93" t="s">
        <v>98</v>
      </c>
      <c r="K97" s="95"/>
      <c r="L97" s="56" t="s">
        <v>102</v>
      </c>
      <c r="M97" s="56" t="s">
        <v>99</v>
      </c>
      <c r="N97" s="56" t="s">
        <v>102</v>
      </c>
      <c r="O97" s="56" t="s">
        <v>99</v>
      </c>
      <c r="P97" s="56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128" t="s">
        <v>73</v>
      </c>
      <c r="I98" s="58" t="s">
        <v>74</v>
      </c>
      <c r="J98" s="59" t="s">
        <v>104</v>
      </c>
      <c r="K98" s="60"/>
      <c r="L98" s="61" t="s">
        <v>76</v>
      </c>
      <c r="M98" s="61" t="s">
        <v>76</v>
      </c>
      <c r="N98" s="61" t="s">
        <v>105</v>
      </c>
      <c r="O98" s="61" t="s">
        <v>105</v>
      </c>
      <c r="P98" s="61" t="s">
        <v>105</v>
      </c>
    </row>
    <row r="99" spans="1:16">
      <c r="C99" s="62">
        <f>IF(D93= "","-",D93)</f>
        <v>2015</v>
      </c>
      <c r="D99" s="63">
        <v>0</v>
      </c>
      <c r="E99" s="70">
        <f>IF(OR(D11=I10,D92&lt;100000),0,J$96/12*(12-D94))</f>
        <v>0</v>
      </c>
      <c r="F99" s="68">
        <f>IF(D93=C99,+D92-E99,+D99-E99)</f>
        <v>0</v>
      </c>
      <c r="G99" s="97">
        <f>+(F99+D99)/2</f>
        <v>0</v>
      </c>
      <c r="H99" s="97">
        <f>+J$94*G99+E99</f>
        <v>0</v>
      </c>
      <c r="I99" s="97">
        <f>+J$95*G99+E99</f>
        <v>0</v>
      </c>
      <c r="J99" s="67">
        <f>+I99-H99</f>
        <v>0</v>
      </c>
      <c r="K99" s="67"/>
      <c r="L99" s="131"/>
      <c r="M99" s="66">
        <f t="shared" ref="M99:M130" si="12">IF(L99&lt;&gt;0,+H99-L99,0)</f>
        <v>0</v>
      </c>
      <c r="N99" s="131"/>
      <c r="O99" s="66">
        <f t="shared" ref="O99:O130" si="13">IF(N99&lt;&gt;0,+I99-N99,0)</f>
        <v>0</v>
      </c>
      <c r="P99" s="66">
        <f t="shared" ref="P99:P130" si="14">+O99-M99</f>
        <v>0</v>
      </c>
    </row>
    <row r="100" spans="1:16">
      <c r="B100" s="9" t="str">
        <f>IF(D100=F99,"","IU")</f>
        <v/>
      </c>
      <c r="C100" s="62">
        <f>IF(D93="","-",+C99+1)</f>
        <v>2016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15">+J$94*G100+E100</f>
        <v>0</v>
      </c>
      <c r="I100" s="139">
        <f t="shared" ref="I100:I154" si="16">+J$95*G100+E100</f>
        <v>0</v>
      </c>
      <c r="J100" s="67">
        <f t="shared" ref="J100:J130" si="17">+I100-H100</f>
        <v>0</v>
      </c>
      <c r="K100" s="67"/>
      <c r="L100" s="132"/>
      <c r="M100" s="67">
        <f t="shared" si="12"/>
        <v>0</v>
      </c>
      <c r="N100" s="132"/>
      <c r="O100" s="67">
        <f t="shared" si="13"/>
        <v>0</v>
      </c>
      <c r="P100" s="67">
        <f t="shared" si="14"/>
        <v>0</v>
      </c>
    </row>
    <row r="101" spans="1:16">
      <c r="B101" s="9" t="str">
        <f t="shared" ref="B101:B154" si="18">IF(D101=F100,"","IU")</f>
        <v/>
      </c>
      <c r="C101" s="62">
        <f>IF(D93="","-",+C100+1)</f>
        <v>2017</v>
      </c>
      <c r="D101" s="63">
        <f>IF(F100+SUM(E$99:E100)=D$92,F100,D$92-SUM(E$99:E100))</f>
        <v>0</v>
      </c>
      <c r="E101" s="69">
        <f t="shared" ref="E101:E154" si="19">IF(+J$96&lt;F100,J$96,D101)</f>
        <v>0</v>
      </c>
      <c r="F101" s="68">
        <f t="shared" ref="F101:F154" si="20">+D101-E101</f>
        <v>0</v>
      </c>
      <c r="G101" s="68">
        <f t="shared" ref="G101:G154" si="21">+(F101+D101)/2</f>
        <v>0</v>
      </c>
      <c r="H101" s="130">
        <f t="shared" si="15"/>
        <v>0</v>
      </c>
      <c r="I101" s="139">
        <f t="shared" si="16"/>
        <v>0</v>
      </c>
      <c r="J101" s="67">
        <f t="shared" si="17"/>
        <v>0</v>
      </c>
      <c r="K101" s="67"/>
      <c r="L101" s="132"/>
      <c r="M101" s="67">
        <f t="shared" si="12"/>
        <v>0</v>
      </c>
      <c r="N101" s="132"/>
      <c r="O101" s="67">
        <f t="shared" si="13"/>
        <v>0</v>
      </c>
      <c r="P101" s="67">
        <f t="shared" si="14"/>
        <v>0</v>
      </c>
    </row>
    <row r="102" spans="1:16">
      <c r="B102" s="9" t="str">
        <f t="shared" si="18"/>
        <v/>
      </c>
      <c r="C102" s="62">
        <f>IF(D93="","-",+C101+1)</f>
        <v>2018</v>
      </c>
      <c r="D102" s="63">
        <f>IF(F101+SUM(E$99:E101)=D$92,F101,D$92-SUM(E$99:E101))</f>
        <v>0</v>
      </c>
      <c r="E102" s="69">
        <f t="shared" si="19"/>
        <v>0</v>
      </c>
      <c r="F102" s="68">
        <f t="shared" si="20"/>
        <v>0</v>
      </c>
      <c r="G102" s="68">
        <f t="shared" si="21"/>
        <v>0</v>
      </c>
      <c r="H102" s="130">
        <f t="shared" si="15"/>
        <v>0</v>
      </c>
      <c r="I102" s="139">
        <f t="shared" si="16"/>
        <v>0</v>
      </c>
      <c r="J102" s="67">
        <f t="shared" si="17"/>
        <v>0</v>
      </c>
      <c r="K102" s="67"/>
      <c r="L102" s="132"/>
      <c r="M102" s="67">
        <f t="shared" si="12"/>
        <v>0</v>
      </c>
      <c r="N102" s="132"/>
      <c r="O102" s="67">
        <f t="shared" si="13"/>
        <v>0</v>
      </c>
      <c r="P102" s="67">
        <f t="shared" si="14"/>
        <v>0</v>
      </c>
    </row>
    <row r="103" spans="1:16">
      <c r="B103" s="9" t="str">
        <f t="shared" si="18"/>
        <v/>
      </c>
      <c r="C103" s="62">
        <f>IF(D93="","-",+C102+1)</f>
        <v>2019</v>
      </c>
      <c r="D103" s="63">
        <f>IF(F102+SUM(E$99:E102)=D$92,F102,D$92-SUM(E$99:E102))</f>
        <v>0</v>
      </c>
      <c r="E103" s="69">
        <f t="shared" si="19"/>
        <v>0</v>
      </c>
      <c r="F103" s="68">
        <f t="shared" si="20"/>
        <v>0</v>
      </c>
      <c r="G103" s="68">
        <f t="shared" si="21"/>
        <v>0</v>
      </c>
      <c r="H103" s="130">
        <f t="shared" si="15"/>
        <v>0</v>
      </c>
      <c r="I103" s="139">
        <f t="shared" si="16"/>
        <v>0</v>
      </c>
      <c r="J103" s="67">
        <f t="shared" si="17"/>
        <v>0</v>
      </c>
      <c r="K103" s="67"/>
      <c r="L103" s="132"/>
      <c r="M103" s="67">
        <f t="shared" si="12"/>
        <v>0</v>
      </c>
      <c r="N103" s="132"/>
      <c r="O103" s="67">
        <f t="shared" si="13"/>
        <v>0</v>
      </c>
      <c r="P103" s="67">
        <f t="shared" si="14"/>
        <v>0</v>
      </c>
    </row>
    <row r="104" spans="1:16">
      <c r="B104" s="9" t="str">
        <f t="shared" si="18"/>
        <v/>
      </c>
      <c r="C104" s="62">
        <f>IF(D93="","-",+C103+1)</f>
        <v>2020</v>
      </c>
      <c r="D104" s="63">
        <f>IF(F103+SUM(E$99:E103)=D$92,F103,D$92-SUM(E$99:E103))</f>
        <v>0</v>
      </c>
      <c r="E104" s="69">
        <f t="shared" si="19"/>
        <v>0</v>
      </c>
      <c r="F104" s="68">
        <f t="shared" si="20"/>
        <v>0</v>
      </c>
      <c r="G104" s="68">
        <f t="shared" si="21"/>
        <v>0</v>
      </c>
      <c r="H104" s="130">
        <f t="shared" si="15"/>
        <v>0</v>
      </c>
      <c r="I104" s="139">
        <f t="shared" si="16"/>
        <v>0</v>
      </c>
      <c r="J104" s="67">
        <f t="shared" si="17"/>
        <v>0</v>
      </c>
      <c r="K104" s="67"/>
      <c r="L104" s="132"/>
      <c r="M104" s="67">
        <f t="shared" si="12"/>
        <v>0</v>
      </c>
      <c r="N104" s="132"/>
      <c r="O104" s="67">
        <f t="shared" si="13"/>
        <v>0</v>
      </c>
      <c r="P104" s="67">
        <f t="shared" si="14"/>
        <v>0</v>
      </c>
    </row>
    <row r="105" spans="1:16">
      <c r="B105" s="9" t="str">
        <f t="shared" si="18"/>
        <v/>
      </c>
      <c r="C105" s="62">
        <f>IF(D93="","-",+C104+1)</f>
        <v>2021</v>
      </c>
      <c r="D105" s="63">
        <f>IF(F104+SUM(E$99:E104)=D$92,F104,D$92-SUM(E$99:E104))</f>
        <v>0</v>
      </c>
      <c r="E105" s="69">
        <f t="shared" si="19"/>
        <v>0</v>
      </c>
      <c r="F105" s="68">
        <f t="shared" si="20"/>
        <v>0</v>
      </c>
      <c r="G105" s="68">
        <f t="shared" si="21"/>
        <v>0</v>
      </c>
      <c r="H105" s="130">
        <f t="shared" si="15"/>
        <v>0</v>
      </c>
      <c r="I105" s="139">
        <f t="shared" si="16"/>
        <v>0</v>
      </c>
      <c r="J105" s="67">
        <f t="shared" si="17"/>
        <v>0</v>
      </c>
      <c r="K105" s="67"/>
      <c r="L105" s="132"/>
      <c r="M105" s="67">
        <f t="shared" si="12"/>
        <v>0</v>
      </c>
      <c r="N105" s="132"/>
      <c r="O105" s="67">
        <f t="shared" si="13"/>
        <v>0</v>
      </c>
      <c r="P105" s="67">
        <f t="shared" si="14"/>
        <v>0</v>
      </c>
    </row>
    <row r="106" spans="1:16">
      <c r="B106" s="9" t="str">
        <f t="shared" si="18"/>
        <v/>
      </c>
      <c r="C106" s="62">
        <f>IF(D93="","-",+C105+1)</f>
        <v>2022</v>
      </c>
      <c r="D106" s="63">
        <f>IF(F105+SUM(E$99:E105)=D$92,F105,D$92-SUM(E$99:E105))</f>
        <v>0</v>
      </c>
      <c r="E106" s="69">
        <f t="shared" si="19"/>
        <v>0</v>
      </c>
      <c r="F106" s="68">
        <f t="shared" si="20"/>
        <v>0</v>
      </c>
      <c r="G106" s="68">
        <f t="shared" si="21"/>
        <v>0</v>
      </c>
      <c r="H106" s="130">
        <f t="shared" si="15"/>
        <v>0</v>
      </c>
      <c r="I106" s="139">
        <f t="shared" si="16"/>
        <v>0</v>
      </c>
      <c r="J106" s="67">
        <f t="shared" si="17"/>
        <v>0</v>
      </c>
      <c r="K106" s="67"/>
      <c r="L106" s="132"/>
      <c r="M106" s="67">
        <f t="shared" si="12"/>
        <v>0</v>
      </c>
      <c r="N106" s="132"/>
      <c r="O106" s="67">
        <f t="shared" si="13"/>
        <v>0</v>
      </c>
      <c r="P106" s="67">
        <f t="shared" si="14"/>
        <v>0</v>
      </c>
    </row>
    <row r="107" spans="1:16">
      <c r="B107" s="9" t="str">
        <f t="shared" si="18"/>
        <v/>
      </c>
      <c r="C107" s="62">
        <f>IF(D93="","-",+C106+1)</f>
        <v>2023</v>
      </c>
      <c r="D107" s="63">
        <f>IF(F106+SUM(E$99:E106)=D$92,F106,D$92-SUM(E$99:E106))</f>
        <v>0</v>
      </c>
      <c r="E107" s="69">
        <f t="shared" si="19"/>
        <v>0</v>
      </c>
      <c r="F107" s="68">
        <f t="shared" si="20"/>
        <v>0</v>
      </c>
      <c r="G107" s="68">
        <f t="shared" si="21"/>
        <v>0</v>
      </c>
      <c r="H107" s="130">
        <f t="shared" si="15"/>
        <v>0</v>
      </c>
      <c r="I107" s="139">
        <f t="shared" si="16"/>
        <v>0</v>
      </c>
      <c r="J107" s="67">
        <f t="shared" si="17"/>
        <v>0</v>
      </c>
      <c r="K107" s="67"/>
      <c r="L107" s="132"/>
      <c r="M107" s="67">
        <f t="shared" si="12"/>
        <v>0</v>
      </c>
      <c r="N107" s="132"/>
      <c r="O107" s="67">
        <f t="shared" si="13"/>
        <v>0</v>
      </c>
      <c r="P107" s="67">
        <f t="shared" si="14"/>
        <v>0</v>
      </c>
    </row>
    <row r="108" spans="1:16">
      <c r="B108" s="9" t="str">
        <f t="shared" si="18"/>
        <v/>
      </c>
      <c r="C108" s="62">
        <f>IF(D93="","-",+C107+1)</f>
        <v>2024</v>
      </c>
      <c r="D108" s="63">
        <f>IF(F107+SUM(E$99:E107)=D$92,F107,D$92-SUM(E$99:E107))</f>
        <v>0</v>
      </c>
      <c r="E108" s="69">
        <f t="shared" si="19"/>
        <v>0</v>
      </c>
      <c r="F108" s="68">
        <f t="shared" si="20"/>
        <v>0</v>
      </c>
      <c r="G108" s="68">
        <f t="shared" si="21"/>
        <v>0</v>
      </c>
      <c r="H108" s="130">
        <f t="shared" si="15"/>
        <v>0</v>
      </c>
      <c r="I108" s="139">
        <f t="shared" si="16"/>
        <v>0</v>
      </c>
      <c r="J108" s="67">
        <f t="shared" si="17"/>
        <v>0</v>
      </c>
      <c r="K108" s="67"/>
      <c r="L108" s="132"/>
      <c r="M108" s="67">
        <f t="shared" si="12"/>
        <v>0</v>
      </c>
      <c r="N108" s="132"/>
      <c r="O108" s="67">
        <f t="shared" si="13"/>
        <v>0</v>
      </c>
      <c r="P108" s="67">
        <f t="shared" si="14"/>
        <v>0</v>
      </c>
    </row>
    <row r="109" spans="1:16">
      <c r="B109" s="9" t="str">
        <f t="shared" si="18"/>
        <v/>
      </c>
      <c r="C109" s="62">
        <f>IF(D93="","-",+C108+1)</f>
        <v>2025</v>
      </c>
      <c r="D109" s="63">
        <f>IF(F108+SUM(E$99:E108)=D$92,F108,D$92-SUM(E$99:E108))</f>
        <v>0</v>
      </c>
      <c r="E109" s="69">
        <f t="shared" si="19"/>
        <v>0</v>
      </c>
      <c r="F109" s="68">
        <f t="shared" si="20"/>
        <v>0</v>
      </c>
      <c r="G109" s="68">
        <f t="shared" si="21"/>
        <v>0</v>
      </c>
      <c r="H109" s="130">
        <f t="shared" si="15"/>
        <v>0</v>
      </c>
      <c r="I109" s="139">
        <f t="shared" si="16"/>
        <v>0</v>
      </c>
      <c r="J109" s="67">
        <f t="shared" si="17"/>
        <v>0</v>
      </c>
      <c r="K109" s="67"/>
      <c r="L109" s="132"/>
      <c r="M109" s="67">
        <f t="shared" si="12"/>
        <v>0</v>
      </c>
      <c r="N109" s="132"/>
      <c r="O109" s="67">
        <f t="shared" si="13"/>
        <v>0</v>
      </c>
      <c r="P109" s="67">
        <f t="shared" si="14"/>
        <v>0</v>
      </c>
    </row>
    <row r="110" spans="1:16">
      <c r="B110" s="9" t="str">
        <f t="shared" si="18"/>
        <v/>
      </c>
      <c r="C110" s="62">
        <f>IF(D93="","-",+C109+1)</f>
        <v>2026</v>
      </c>
      <c r="D110" s="63">
        <f>IF(F109+SUM(E$99:E109)=D$92,F109,D$92-SUM(E$99:E109))</f>
        <v>0</v>
      </c>
      <c r="E110" s="69">
        <f t="shared" si="19"/>
        <v>0</v>
      </c>
      <c r="F110" s="68">
        <f t="shared" si="20"/>
        <v>0</v>
      </c>
      <c r="G110" s="68">
        <f t="shared" si="21"/>
        <v>0</v>
      </c>
      <c r="H110" s="130">
        <f t="shared" si="15"/>
        <v>0</v>
      </c>
      <c r="I110" s="139">
        <f t="shared" si="16"/>
        <v>0</v>
      </c>
      <c r="J110" s="67">
        <f t="shared" si="17"/>
        <v>0</v>
      </c>
      <c r="K110" s="67"/>
      <c r="L110" s="132"/>
      <c r="M110" s="67">
        <f t="shared" si="12"/>
        <v>0</v>
      </c>
      <c r="N110" s="132"/>
      <c r="O110" s="67">
        <f t="shared" si="13"/>
        <v>0</v>
      </c>
      <c r="P110" s="67">
        <f t="shared" si="14"/>
        <v>0</v>
      </c>
    </row>
    <row r="111" spans="1:16">
      <c r="B111" s="9" t="str">
        <f t="shared" si="18"/>
        <v/>
      </c>
      <c r="C111" s="62">
        <f>IF(D93="","-",+C110+1)</f>
        <v>2027</v>
      </c>
      <c r="D111" s="63">
        <f>IF(F110+SUM(E$99:E110)=D$92,F110,D$92-SUM(E$99:E110))</f>
        <v>0</v>
      </c>
      <c r="E111" s="69">
        <f t="shared" si="19"/>
        <v>0</v>
      </c>
      <c r="F111" s="68">
        <f t="shared" si="20"/>
        <v>0</v>
      </c>
      <c r="G111" s="68">
        <f t="shared" si="21"/>
        <v>0</v>
      </c>
      <c r="H111" s="130">
        <f t="shared" si="15"/>
        <v>0</v>
      </c>
      <c r="I111" s="139">
        <f t="shared" si="16"/>
        <v>0</v>
      </c>
      <c r="J111" s="67">
        <f t="shared" si="17"/>
        <v>0</v>
      </c>
      <c r="K111" s="67"/>
      <c r="L111" s="132"/>
      <c r="M111" s="67">
        <f t="shared" si="12"/>
        <v>0</v>
      </c>
      <c r="N111" s="132"/>
      <c r="O111" s="67">
        <f t="shared" si="13"/>
        <v>0</v>
      </c>
      <c r="P111" s="67">
        <f t="shared" si="14"/>
        <v>0</v>
      </c>
    </row>
    <row r="112" spans="1:16">
      <c r="B112" s="9" t="str">
        <f t="shared" si="18"/>
        <v/>
      </c>
      <c r="C112" s="62">
        <f>IF(D93="","-",+C111+1)</f>
        <v>2028</v>
      </c>
      <c r="D112" s="63">
        <f>IF(F111+SUM(E$99:E111)=D$92,F111,D$92-SUM(E$99:E111))</f>
        <v>0</v>
      </c>
      <c r="E112" s="69">
        <f t="shared" si="19"/>
        <v>0</v>
      </c>
      <c r="F112" s="68">
        <f t="shared" si="20"/>
        <v>0</v>
      </c>
      <c r="G112" s="68">
        <f t="shared" si="21"/>
        <v>0</v>
      </c>
      <c r="H112" s="130">
        <f t="shared" si="15"/>
        <v>0</v>
      </c>
      <c r="I112" s="139">
        <f t="shared" si="16"/>
        <v>0</v>
      </c>
      <c r="J112" s="67">
        <f t="shared" si="17"/>
        <v>0</v>
      </c>
      <c r="K112" s="67"/>
      <c r="L112" s="132"/>
      <c r="M112" s="67">
        <f t="shared" si="12"/>
        <v>0</v>
      </c>
      <c r="N112" s="132"/>
      <c r="O112" s="67">
        <f t="shared" si="13"/>
        <v>0</v>
      </c>
      <c r="P112" s="67">
        <f t="shared" si="14"/>
        <v>0</v>
      </c>
    </row>
    <row r="113" spans="2:16">
      <c r="B113" s="9" t="str">
        <f t="shared" si="18"/>
        <v/>
      </c>
      <c r="C113" s="62">
        <f>IF(D93="","-",+C112+1)</f>
        <v>2029</v>
      </c>
      <c r="D113" s="63">
        <f>IF(F112+SUM(E$99:E112)=D$92,F112,D$92-SUM(E$99:E112))</f>
        <v>0</v>
      </c>
      <c r="E113" s="69">
        <f t="shared" si="19"/>
        <v>0</v>
      </c>
      <c r="F113" s="68">
        <f t="shared" si="20"/>
        <v>0</v>
      </c>
      <c r="G113" s="68">
        <f t="shared" si="21"/>
        <v>0</v>
      </c>
      <c r="H113" s="130">
        <f t="shared" si="15"/>
        <v>0</v>
      </c>
      <c r="I113" s="139">
        <f t="shared" si="16"/>
        <v>0</v>
      </c>
      <c r="J113" s="67">
        <f t="shared" si="17"/>
        <v>0</v>
      </c>
      <c r="K113" s="67"/>
      <c r="L113" s="132"/>
      <c r="M113" s="67">
        <f t="shared" si="12"/>
        <v>0</v>
      </c>
      <c r="N113" s="132"/>
      <c r="O113" s="67">
        <f t="shared" si="13"/>
        <v>0</v>
      </c>
      <c r="P113" s="67">
        <f t="shared" si="14"/>
        <v>0</v>
      </c>
    </row>
    <row r="114" spans="2:16">
      <c r="B114" s="9" t="str">
        <f t="shared" si="18"/>
        <v/>
      </c>
      <c r="C114" s="62">
        <f>IF(D93="","-",+C113+1)</f>
        <v>2030</v>
      </c>
      <c r="D114" s="63">
        <f>IF(F113+SUM(E$99:E113)=D$92,F113,D$92-SUM(E$99:E113))</f>
        <v>0</v>
      </c>
      <c r="E114" s="69">
        <f t="shared" si="19"/>
        <v>0</v>
      </c>
      <c r="F114" s="68">
        <f t="shared" si="20"/>
        <v>0</v>
      </c>
      <c r="G114" s="68">
        <f t="shared" si="21"/>
        <v>0</v>
      </c>
      <c r="H114" s="130">
        <f t="shared" si="15"/>
        <v>0</v>
      </c>
      <c r="I114" s="139">
        <f t="shared" si="16"/>
        <v>0</v>
      </c>
      <c r="J114" s="67">
        <f t="shared" si="17"/>
        <v>0</v>
      </c>
      <c r="K114" s="67"/>
      <c r="L114" s="132"/>
      <c r="M114" s="67">
        <f t="shared" si="12"/>
        <v>0</v>
      </c>
      <c r="N114" s="132"/>
      <c r="O114" s="67">
        <f t="shared" si="13"/>
        <v>0</v>
      </c>
      <c r="P114" s="67">
        <f t="shared" si="14"/>
        <v>0</v>
      </c>
    </row>
    <row r="115" spans="2:16">
      <c r="B115" s="9" t="str">
        <f t="shared" si="18"/>
        <v/>
      </c>
      <c r="C115" s="62">
        <f>IF(D93="","-",+C114+1)</f>
        <v>2031</v>
      </c>
      <c r="D115" s="63">
        <f>IF(F114+SUM(E$99:E114)=D$92,F114,D$92-SUM(E$99:E114))</f>
        <v>0</v>
      </c>
      <c r="E115" s="69">
        <f t="shared" si="19"/>
        <v>0</v>
      </c>
      <c r="F115" s="68">
        <f t="shared" si="20"/>
        <v>0</v>
      </c>
      <c r="G115" s="68">
        <f t="shared" si="21"/>
        <v>0</v>
      </c>
      <c r="H115" s="130">
        <f t="shared" si="15"/>
        <v>0</v>
      </c>
      <c r="I115" s="139">
        <f t="shared" si="16"/>
        <v>0</v>
      </c>
      <c r="J115" s="67">
        <f t="shared" si="17"/>
        <v>0</v>
      </c>
      <c r="K115" s="67"/>
      <c r="L115" s="132"/>
      <c r="M115" s="67">
        <f t="shared" si="12"/>
        <v>0</v>
      </c>
      <c r="N115" s="132"/>
      <c r="O115" s="67">
        <f t="shared" si="13"/>
        <v>0</v>
      </c>
      <c r="P115" s="67">
        <f t="shared" si="14"/>
        <v>0</v>
      </c>
    </row>
    <row r="116" spans="2:16">
      <c r="B116" s="9" t="str">
        <f t="shared" si="18"/>
        <v/>
      </c>
      <c r="C116" s="62">
        <f>IF(D93="","-",+C115+1)</f>
        <v>2032</v>
      </c>
      <c r="D116" s="63">
        <f>IF(F115+SUM(E$99:E115)=D$92,F115,D$92-SUM(E$99:E115))</f>
        <v>0</v>
      </c>
      <c r="E116" s="69">
        <f t="shared" si="19"/>
        <v>0</v>
      </c>
      <c r="F116" s="68">
        <f t="shared" si="20"/>
        <v>0</v>
      </c>
      <c r="G116" s="68">
        <f t="shared" si="21"/>
        <v>0</v>
      </c>
      <c r="H116" s="130">
        <f t="shared" si="15"/>
        <v>0</v>
      </c>
      <c r="I116" s="139">
        <f t="shared" si="16"/>
        <v>0</v>
      </c>
      <c r="J116" s="67">
        <f t="shared" si="17"/>
        <v>0</v>
      </c>
      <c r="K116" s="67"/>
      <c r="L116" s="132"/>
      <c r="M116" s="67">
        <f t="shared" si="12"/>
        <v>0</v>
      </c>
      <c r="N116" s="132"/>
      <c r="O116" s="67">
        <f t="shared" si="13"/>
        <v>0</v>
      </c>
      <c r="P116" s="67">
        <f t="shared" si="14"/>
        <v>0</v>
      </c>
    </row>
    <row r="117" spans="2:16">
      <c r="B117" s="9" t="str">
        <f t="shared" si="18"/>
        <v/>
      </c>
      <c r="C117" s="62">
        <f>IF(D93="","-",+C116+1)</f>
        <v>2033</v>
      </c>
      <c r="D117" s="63">
        <f>IF(F116+SUM(E$99:E116)=D$92,F116,D$92-SUM(E$99:E116))</f>
        <v>0</v>
      </c>
      <c r="E117" s="69">
        <f t="shared" si="19"/>
        <v>0</v>
      </c>
      <c r="F117" s="68">
        <f t="shared" si="20"/>
        <v>0</v>
      </c>
      <c r="G117" s="68">
        <f t="shared" si="21"/>
        <v>0</v>
      </c>
      <c r="H117" s="130">
        <f t="shared" si="15"/>
        <v>0</v>
      </c>
      <c r="I117" s="139">
        <f t="shared" si="16"/>
        <v>0</v>
      </c>
      <c r="J117" s="67">
        <f t="shared" si="17"/>
        <v>0</v>
      </c>
      <c r="K117" s="67"/>
      <c r="L117" s="132"/>
      <c r="M117" s="67">
        <f t="shared" si="12"/>
        <v>0</v>
      </c>
      <c r="N117" s="132"/>
      <c r="O117" s="67">
        <f t="shared" si="13"/>
        <v>0</v>
      </c>
      <c r="P117" s="67">
        <f t="shared" si="14"/>
        <v>0</v>
      </c>
    </row>
    <row r="118" spans="2:16">
      <c r="B118" s="9" t="str">
        <f t="shared" si="18"/>
        <v/>
      </c>
      <c r="C118" s="62">
        <f>IF(D93="","-",+C117+1)</f>
        <v>2034</v>
      </c>
      <c r="D118" s="63">
        <f>IF(F117+SUM(E$99:E117)=D$92,F117,D$92-SUM(E$99:E117))</f>
        <v>0</v>
      </c>
      <c r="E118" s="69">
        <f t="shared" si="19"/>
        <v>0</v>
      </c>
      <c r="F118" s="68">
        <f t="shared" si="20"/>
        <v>0</v>
      </c>
      <c r="G118" s="68">
        <f t="shared" si="21"/>
        <v>0</v>
      </c>
      <c r="H118" s="130">
        <f t="shared" si="15"/>
        <v>0</v>
      </c>
      <c r="I118" s="139">
        <f t="shared" si="16"/>
        <v>0</v>
      </c>
      <c r="J118" s="67">
        <f t="shared" si="17"/>
        <v>0</v>
      </c>
      <c r="K118" s="67"/>
      <c r="L118" s="132"/>
      <c r="M118" s="67">
        <f t="shared" si="12"/>
        <v>0</v>
      </c>
      <c r="N118" s="132"/>
      <c r="O118" s="67">
        <f t="shared" si="13"/>
        <v>0</v>
      </c>
      <c r="P118" s="67">
        <f t="shared" si="14"/>
        <v>0</v>
      </c>
    </row>
    <row r="119" spans="2:16">
      <c r="B119" s="9" t="str">
        <f t="shared" si="18"/>
        <v/>
      </c>
      <c r="C119" s="62">
        <f>IF(D93="","-",+C118+1)</f>
        <v>2035</v>
      </c>
      <c r="D119" s="63">
        <f>IF(F118+SUM(E$99:E118)=D$92,F118,D$92-SUM(E$99:E118))</f>
        <v>0</v>
      </c>
      <c r="E119" s="69">
        <f t="shared" si="19"/>
        <v>0</v>
      </c>
      <c r="F119" s="68">
        <f t="shared" si="20"/>
        <v>0</v>
      </c>
      <c r="G119" s="68">
        <f t="shared" si="21"/>
        <v>0</v>
      </c>
      <c r="H119" s="130">
        <f t="shared" si="15"/>
        <v>0</v>
      </c>
      <c r="I119" s="139">
        <f t="shared" si="16"/>
        <v>0</v>
      </c>
      <c r="J119" s="67">
        <f t="shared" si="17"/>
        <v>0</v>
      </c>
      <c r="K119" s="67"/>
      <c r="L119" s="132"/>
      <c r="M119" s="67">
        <f t="shared" si="12"/>
        <v>0</v>
      </c>
      <c r="N119" s="132"/>
      <c r="O119" s="67">
        <f t="shared" si="13"/>
        <v>0</v>
      </c>
      <c r="P119" s="67">
        <f t="shared" si="14"/>
        <v>0</v>
      </c>
    </row>
    <row r="120" spans="2:16">
      <c r="B120" s="9" t="str">
        <f t="shared" si="18"/>
        <v/>
      </c>
      <c r="C120" s="62">
        <f>IF(D93="","-",+C119+1)</f>
        <v>2036</v>
      </c>
      <c r="D120" s="63">
        <f>IF(F119+SUM(E$99:E119)=D$92,F119,D$92-SUM(E$99:E119))</f>
        <v>0</v>
      </c>
      <c r="E120" s="69">
        <f t="shared" si="19"/>
        <v>0</v>
      </c>
      <c r="F120" s="68">
        <f t="shared" si="20"/>
        <v>0</v>
      </c>
      <c r="G120" s="68">
        <f t="shared" si="21"/>
        <v>0</v>
      </c>
      <c r="H120" s="130">
        <f t="shared" si="15"/>
        <v>0</v>
      </c>
      <c r="I120" s="139">
        <f t="shared" si="16"/>
        <v>0</v>
      </c>
      <c r="J120" s="67">
        <f t="shared" si="17"/>
        <v>0</v>
      </c>
      <c r="K120" s="67"/>
      <c r="L120" s="132"/>
      <c r="M120" s="67">
        <f t="shared" si="12"/>
        <v>0</v>
      </c>
      <c r="N120" s="132"/>
      <c r="O120" s="67">
        <f t="shared" si="13"/>
        <v>0</v>
      </c>
      <c r="P120" s="67">
        <f t="shared" si="14"/>
        <v>0</v>
      </c>
    </row>
    <row r="121" spans="2:16">
      <c r="B121" s="9" t="str">
        <f t="shared" si="18"/>
        <v/>
      </c>
      <c r="C121" s="62">
        <f>IF(D93="","-",+C120+1)</f>
        <v>2037</v>
      </c>
      <c r="D121" s="63">
        <f>IF(F120+SUM(E$99:E120)=D$92,F120,D$92-SUM(E$99:E120))</f>
        <v>0</v>
      </c>
      <c r="E121" s="69">
        <f t="shared" si="19"/>
        <v>0</v>
      </c>
      <c r="F121" s="68">
        <f t="shared" si="20"/>
        <v>0</v>
      </c>
      <c r="G121" s="68">
        <f t="shared" si="21"/>
        <v>0</v>
      </c>
      <c r="H121" s="130">
        <f t="shared" si="15"/>
        <v>0</v>
      </c>
      <c r="I121" s="139">
        <f t="shared" si="16"/>
        <v>0</v>
      </c>
      <c r="J121" s="67">
        <f t="shared" si="17"/>
        <v>0</v>
      </c>
      <c r="K121" s="67"/>
      <c r="L121" s="132"/>
      <c r="M121" s="67">
        <f t="shared" si="12"/>
        <v>0</v>
      </c>
      <c r="N121" s="132"/>
      <c r="O121" s="67">
        <f t="shared" si="13"/>
        <v>0</v>
      </c>
      <c r="P121" s="67">
        <f t="shared" si="14"/>
        <v>0</v>
      </c>
    </row>
    <row r="122" spans="2:16">
      <c r="B122" s="9" t="str">
        <f t="shared" si="18"/>
        <v/>
      </c>
      <c r="C122" s="62">
        <f>IF(D93="","-",+C121+1)</f>
        <v>2038</v>
      </c>
      <c r="D122" s="63">
        <f>IF(F121+SUM(E$99:E121)=D$92,F121,D$92-SUM(E$99:E121))</f>
        <v>0</v>
      </c>
      <c r="E122" s="69">
        <f t="shared" si="19"/>
        <v>0</v>
      </c>
      <c r="F122" s="68">
        <f t="shared" si="20"/>
        <v>0</v>
      </c>
      <c r="G122" s="68">
        <f t="shared" si="21"/>
        <v>0</v>
      </c>
      <c r="H122" s="130">
        <f t="shared" si="15"/>
        <v>0</v>
      </c>
      <c r="I122" s="139">
        <f t="shared" si="16"/>
        <v>0</v>
      </c>
      <c r="J122" s="67">
        <f t="shared" si="17"/>
        <v>0</v>
      </c>
      <c r="K122" s="67"/>
      <c r="L122" s="132"/>
      <c r="M122" s="67">
        <f t="shared" si="12"/>
        <v>0</v>
      </c>
      <c r="N122" s="132"/>
      <c r="O122" s="67">
        <f t="shared" si="13"/>
        <v>0</v>
      </c>
      <c r="P122" s="67">
        <f t="shared" si="14"/>
        <v>0</v>
      </c>
    </row>
    <row r="123" spans="2:16">
      <c r="B123" s="9" t="str">
        <f t="shared" si="18"/>
        <v/>
      </c>
      <c r="C123" s="62">
        <f>IF(D93="","-",+C122+1)</f>
        <v>2039</v>
      </c>
      <c r="D123" s="63">
        <f>IF(F122+SUM(E$99:E122)=D$92,F122,D$92-SUM(E$99:E122))</f>
        <v>0</v>
      </c>
      <c r="E123" s="69">
        <f t="shared" si="19"/>
        <v>0</v>
      </c>
      <c r="F123" s="68">
        <f t="shared" si="20"/>
        <v>0</v>
      </c>
      <c r="G123" s="68">
        <f t="shared" si="21"/>
        <v>0</v>
      </c>
      <c r="H123" s="130">
        <f t="shared" si="15"/>
        <v>0</v>
      </c>
      <c r="I123" s="139">
        <f t="shared" si="16"/>
        <v>0</v>
      </c>
      <c r="J123" s="67">
        <f t="shared" si="17"/>
        <v>0</v>
      </c>
      <c r="K123" s="67"/>
      <c r="L123" s="132"/>
      <c r="M123" s="67">
        <f t="shared" si="12"/>
        <v>0</v>
      </c>
      <c r="N123" s="132"/>
      <c r="O123" s="67">
        <f t="shared" si="13"/>
        <v>0</v>
      </c>
      <c r="P123" s="67">
        <f t="shared" si="14"/>
        <v>0</v>
      </c>
    </row>
    <row r="124" spans="2:16">
      <c r="B124" s="9" t="str">
        <f t="shared" si="18"/>
        <v/>
      </c>
      <c r="C124" s="62">
        <f>IF(D93="","-",+C123+1)</f>
        <v>2040</v>
      </c>
      <c r="D124" s="63">
        <f>IF(F123+SUM(E$99:E123)=D$92,F123,D$92-SUM(E$99:E123))</f>
        <v>0</v>
      </c>
      <c r="E124" s="69">
        <f t="shared" si="19"/>
        <v>0</v>
      </c>
      <c r="F124" s="68">
        <f t="shared" si="20"/>
        <v>0</v>
      </c>
      <c r="G124" s="68">
        <f t="shared" si="21"/>
        <v>0</v>
      </c>
      <c r="H124" s="130">
        <f t="shared" si="15"/>
        <v>0</v>
      </c>
      <c r="I124" s="139">
        <f t="shared" si="16"/>
        <v>0</v>
      </c>
      <c r="J124" s="67">
        <f t="shared" si="17"/>
        <v>0</v>
      </c>
      <c r="K124" s="67"/>
      <c r="L124" s="132"/>
      <c r="M124" s="67">
        <f t="shared" si="12"/>
        <v>0</v>
      </c>
      <c r="N124" s="132"/>
      <c r="O124" s="67">
        <f t="shared" si="13"/>
        <v>0</v>
      </c>
      <c r="P124" s="67">
        <f t="shared" si="14"/>
        <v>0</v>
      </c>
    </row>
    <row r="125" spans="2:16">
      <c r="B125" s="9" t="str">
        <f t="shared" si="18"/>
        <v/>
      </c>
      <c r="C125" s="62">
        <f>IF(D93="","-",+C124+1)</f>
        <v>2041</v>
      </c>
      <c r="D125" s="63">
        <f>IF(F124+SUM(E$99:E124)=D$92,F124,D$92-SUM(E$99:E124))</f>
        <v>0</v>
      </c>
      <c r="E125" s="69">
        <f t="shared" si="19"/>
        <v>0</v>
      </c>
      <c r="F125" s="68">
        <f t="shared" si="20"/>
        <v>0</v>
      </c>
      <c r="G125" s="68">
        <f t="shared" si="21"/>
        <v>0</v>
      </c>
      <c r="H125" s="130">
        <f t="shared" si="15"/>
        <v>0</v>
      </c>
      <c r="I125" s="139">
        <f t="shared" si="16"/>
        <v>0</v>
      </c>
      <c r="J125" s="67">
        <f t="shared" si="17"/>
        <v>0</v>
      </c>
      <c r="K125" s="67"/>
      <c r="L125" s="132"/>
      <c r="M125" s="67">
        <f t="shared" si="12"/>
        <v>0</v>
      </c>
      <c r="N125" s="132"/>
      <c r="O125" s="67">
        <f t="shared" si="13"/>
        <v>0</v>
      </c>
      <c r="P125" s="67">
        <f t="shared" si="14"/>
        <v>0</v>
      </c>
    </row>
    <row r="126" spans="2:16">
      <c r="B126" s="9" t="str">
        <f t="shared" si="18"/>
        <v/>
      </c>
      <c r="C126" s="62">
        <f>IF(D93="","-",+C125+1)</f>
        <v>2042</v>
      </c>
      <c r="D126" s="63">
        <f>IF(F125+SUM(E$99:E125)=D$92,F125,D$92-SUM(E$99:E125))</f>
        <v>0</v>
      </c>
      <c r="E126" s="69">
        <f t="shared" si="19"/>
        <v>0</v>
      </c>
      <c r="F126" s="68">
        <f t="shared" si="20"/>
        <v>0</v>
      </c>
      <c r="G126" s="68">
        <f t="shared" si="21"/>
        <v>0</v>
      </c>
      <c r="H126" s="130">
        <f t="shared" si="15"/>
        <v>0</v>
      </c>
      <c r="I126" s="139">
        <f t="shared" si="16"/>
        <v>0</v>
      </c>
      <c r="J126" s="67">
        <f t="shared" si="17"/>
        <v>0</v>
      </c>
      <c r="K126" s="67"/>
      <c r="L126" s="132"/>
      <c r="M126" s="67">
        <f t="shared" si="12"/>
        <v>0</v>
      </c>
      <c r="N126" s="132"/>
      <c r="O126" s="67">
        <f t="shared" si="13"/>
        <v>0</v>
      </c>
      <c r="P126" s="67">
        <f t="shared" si="14"/>
        <v>0</v>
      </c>
    </row>
    <row r="127" spans="2:16">
      <c r="B127" s="9" t="str">
        <f t="shared" si="18"/>
        <v/>
      </c>
      <c r="C127" s="62">
        <f>IF(D93="","-",+C126+1)</f>
        <v>2043</v>
      </c>
      <c r="D127" s="63">
        <f>IF(F126+SUM(E$99:E126)=D$92,F126,D$92-SUM(E$99:E126))</f>
        <v>0</v>
      </c>
      <c r="E127" s="69">
        <f t="shared" si="19"/>
        <v>0</v>
      </c>
      <c r="F127" s="68">
        <f t="shared" si="20"/>
        <v>0</v>
      </c>
      <c r="G127" s="68">
        <f t="shared" si="21"/>
        <v>0</v>
      </c>
      <c r="H127" s="130">
        <f t="shared" si="15"/>
        <v>0</v>
      </c>
      <c r="I127" s="139">
        <f t="shared" si="16"/>
        <v>0</v>
      </c>
      <c r="J127" s="67">
        <f t="shared" si="17"/>
        <v>0</v>
      </c>
      <c r="K127" s="67"/>
      <c r="L127" s="132"/>
      <c r="M127" s="67">
        <f t="shared" si="12"/>
        <v>0</v>
      </c>
      <c r="N127" s="132"/>
      <c r="O127" s="67">
        <f t="shared" si="13"/>
        <v>0</v>
      </c>
      <c r="P127" s="67">
        <f t="shared" si="14"/>
        <v>0</v>
      </c>
    </row>
    <row r="128" spans="2:16">
      <c r="B128" s="9" t="str">
        <f t="shared" si="18"/>
        <v/>
      </c>
      <c r="C128" s="62">
        <f>IF(D93="","-",+C127+1)</f>
        <v>2044</v>
      </c>
      <c r="D128" s="63">
        <f>IF(F127+SUM(E$99:E127)=D$92,F127,D$92-SUM(E$99:E127))</f>
        <v>0</v>
      </c>
      <c r="E128" s="69">
        <f t="shared" si="19"/>
        <v>0</v>
      </c>
      <c r="F128" s="68">
        <f t="shared" si="20"/>
        <v>0</v>
      </c>
      <c r="G128" s="68">
        <f t="shared" si="21"/>
        <v>0</v>
      </c>
      <c r="H128" s="130">
        <f t="shared" si="15"/>
        <v>0</v>
      </c>
      <c r="I128" s="139">
        <f t="shared" si="16"/>
        <v>0</v>
      </c>
      <c r="J128" s="67">
        <f t="shared" si="17"/>
        <v>0</v>
      </c>
      <c r="K128" s="67"/>
      <c r="L128" s="132"/>
      <c r="M128" s="67">
        <f t="shared" si="12"/>
        <v>0</v>
      </c>
      <c r="N128" s="132"/>
      <c r="O128" s="67">
        <f t="shared" si="13"/>
        <v>0</v>
      </c>
      <c r="P128" s="67">
        <f t="shared" si="14"/>
        <v>0</v>
      </c>
    </row>
    <row r="129" spans="2:16">
      <c r="B129" s="9" t="str">
        <f t="shared" si="18"/>
        <v/>
      </c>
      <c r="C129" s="62">
        <f>IF(D93="","-",+C128+1)</f>
        <v>2045</v>
      </c>
      <c r="D129" s="63">
        <f>IF(F128+SUM(E$99:E128)=D$92,F128,D$92-SUM(E$99:E128))</f>
        <v>0</v>
      </c>
      <c r="E129" s="69">
        <f t="shared" si="19"/>
        <v>0</v>
      </c>
      <c r="F129" s="68">
        <f t="shared" si="20"/>
        <v>0</v>
      </c>
      <c r="G129" s="68">
        <f t="shared" si="21"/>
        <v>0</v>
      </c>
      <c r="H129" s="130">
        <f t="shared" si="15"/>
        <v>0</v>
      </c>
      <c r="I129" s="139">
        <f t="shared" si="16"/>
        <v>0</v>
      </c>
      <c r="J129" s="67">
        <f t="shared" si="17"/>
        <v>0</v>
      </c>
      <c r="K129" s="67"/>
      <c r="L129" s="132"/>
      <c r="M129" s="67">
        <f t="shared" si="12"/>
        <v>0</v>
      </c>
      <c r="N129" s="132"/>
      <c r="O129" s="67">
        <f t="shared" si="13"/>
        <v>0</v>
      </c>
      <c r="P129" s="67">
        <f t="shared" si="14"/>
        <v>0</v>
      </c>
    </row>
    <row r="130" spans="2:16">
      <c r="B130" s="9" t="str">
        <f t="shared" si="18"/>
        <v/>
      </c>
      <c r="C130" s="62">
        <f>IF(D93="","-",+C129+1)</f>
        <v>2046</v>
      </c>
      <c r="D130" s="63">
        <f>IF(F129+SUM(E$99:E129)=D$92,F129,D$92-SUM(E$99:E129))</f>
        <v>0</v>
      </c>
      <c r="E130" s="69">
        <f t="shared" si="19"/>
        <v>0</v>
      </c>
      <c r="F130" s="68">
        <f t="shared" si="20"/>
        <v>0</v>
      </c>
      <c r="G130" s="68">
        <f t="shared" si="21"/>
        <v>0</v>
      </c>
      <c r="H130" s="130">
        <f t="shared" si="15"/>
        <v>0</v>
      </c>
      <c r="I130" s="139">
        <f t="shared" si="16"/>
        <v>0</v>
      </c>
      <c r="J130" s="67">
        <f t="shared" si="17"/>
        <v>0</v>
      </c>
      <c r="K130" s="67"/>
      <c r="L130" s="132"/>
      <c r="M130" s="67">
        <f t="shared" si="12"/>
        <v>0</v>
      </c>
      <c r="N130" s="132"/>
      <c r="O130" s="67">
        <f t="shared" si="13"/>
        <v>0</v>
      </c>
      <c r="P130" s="67">
        <f t="shared" si="14"/>
        <v>0</v>
      </c>
    </row>
    <row r="131" spans="2:16">
      <c r="B131" s="9" t="str">
        <f t="shared" si="18"/>
        <v/>
      </c>
      <c r="C131" s="62">
        <f>IF(D93="","-",+C130+1)</f>
        <v>2047</v>
      </c>
      <c r="D131" s="63">
        <f>IF(F130+SUM(E$99:E130)=D$92,F130,D$92-SUM(E$99:E130))</f>
        <v>0</v>
      </c>
      <c r="E131" s="69">
        <f t="shared" si="19"/>
        <v>0</v>
      </c>
      <c r="F131" s="68">
        <f t="shared" si="20"/>
        <v>0</v>
      </c>
      <c r="G131" s="68">
        <f t="shared" si="21"/>
        <v>0</v>
      </c>
      <c r="H131" s="130">
        <f t="shared" si="15"/>
        <v>0</v>
      </c>
      <c r="I131" s="139">
        <f t="shared" si="16"/>
        <v>0</v>
      </c>
      <c r="J131" s="67">
        <f t="shared" ref="J131:J154" si="22">+I541-H541</f>
        <v>0</v>
      </c>
      <c r="K131" s="67"/>
      <c r="L131" s="132"/>
      <c r="M131" s="67">
        <f t="shared" ref="M131:M154" si="23">IF(L541&lt;&gt;0,+H541-L541,0)</f>
        <v>0</v>
      </c>
      <c r="N131" s="132"/>
      <c r="O131" s="67">
        <f t="shared" ref="O131:O154" si="24">IF(N541&lt;&gt;0,+I541-N541,0)</f>
        <v>0</v>
      </c>
      <c r="P131" s="67">
        <f t="shared" ref="P131:P154" si="25">+O541-M541</f>
        <v>0</v>
      </c>
    </row>
    <row r="132" spans="2:16">
      <c r="B132" s="9" t="str">
        <f t="shared" si="18"/>
        <v/>
      </c>
      <c r="C132" s="62">
        <f>IF(D93="","-",+C131+1)</f>
        <v>2048</v>
      </c>
      <c r="D132" s="63">
        <f>IF(F131+SUM(E$99:E131)=D$92,F131,D$92-SUM(E$99:E131))</f>
        <v>0</v>
      </c>
      <c r="E132" s="69">
        <f t="shared" si="19"/>
        <v>0</v>
      </c>
      <c r="F132" s="68">
        <f t="shared" si="20"/>
        <v>0</v>
      </c>
      <c r="G132" s="68">
        <f t="shared" si="21"/>
        <v>0</v>
      </c>
      <c r="H132" s="130">
        <f t="shared" si="15"/>
        <v>0</v>
      </c>
      <c r="I132" s="139">
        <f t="shared" si="16"/>
        <v>0</v>
      </c>
      <c r="J132" s="67">
        <f t="shared" si="22"/>
        <v>0</v>
      </c>
      <c r="K132" s="67"/>
      <c r="L132" s="132"/>
      <c r="M132" s="67">
        <f t="shared" si="23"/>
        <v>0</v>
      </c>
      <c r="N132" s="132"/>
      <c r="O132" s="67">
        <f t="shared" si="24"/>
        <v>0</v>
      </c>
      <c r="P132" s="67">
        <f t="shared" si="25"/>
        <v>0</v>
      </c>
    </row>
    <row r="133" spans="2:16">
      <c r="B133" s="9" t="str">
        <f t="shared" si="18"/>
        <v/>
      </c>
      <c r="C133" s="62">
        <f>IF(D93="","-",+C132+1)</f>
        <v>2049</v>
      </c>
      <c r="D133" s="63">
        <f>IF(F132+SUM(E$99:E132)=D$92,F132,D$92-SUM(E$99:E132))</f>
        <v>0</v>
      </c>
      <c r="E133" s="69">
        <f t="shared" si="19"/>
        <v>0</v>
      </c>
      <c r="F133" s="68">
        <f t="shared" si="20"/>
        <v>0</v>
      </c>
      <c r="G133" s="68">
        <f t="shared" si="21"/>
        <v>0</v>
      </c>
      <c r="H133" s="130">
        <f t="shared" si="15"/>
        <v>0</v>
      </c>
      <c r="I133" s="139">
        <f t="shared" si="16"/>
        <v>0</v>
      </c>
      <c r="J133" s="67">
        <f t="shared" si="22"/>
        <v>0</v>
      </c>
      <c r="K133" s="67"/>
      <c r="L133" s="132"/>
      <c r="M133" s="67">
        <f t="shared" si="23"/>
        <v>0</v>
      </c>
      <c r="N133" s="132"/>
      <c r="O133" s="67">
        <f t="shared" si="24"/>
        <v>0</v>
      </c>
      <c r="P133" s="67">
        <f t="shared" si="25"/>
        <v>0</v>
      </c>
    </row>
    <row r="134" spans="2:16">
      <c r="B134" s="9" t="str">
        <f t="shared" si="18"/>
        <v/>
      </c>
      <c r="C134" s="62">
        <f>IF(D93="","-",+C133+1)</f>
        <v>2050</v>
      </c>
      <c r="D134" s="63">
        <f>IF(F133+SUM(E$99:E133)=D$92,F133,D$92-SUM(E$99:E133))</f>
        <v>0</v>
      </c>
      <c r="E134" s="69">
        <f t="shared" si="19"/>
        <v>0</v>
      </c>
      <c r="F134" s="68">
        <f t="shared" si="20"/>
        <v>0</v>
      </c>
      <c r="G134" s="68">
        <f t="shared" si="21"/>
        <v>0</v>
      </c>
      <c r="H134" s="130">
        <f t="shared" si="15"/>
        <v>0</v>
      </c>
      <c r="I134" s="139">
        <f t="shared" si="16"/>
        <v>0</v>
      </c>
      <c r="J134" s="67">
        <f t="shared" si="22"/>
        <v>0</v>
      </c>
      <c r="K134" s="67"/>
      <c r="L134" s="132"/>
      <c r="M134" s="67">
        <f t="shared" si="23"/>
        <v>0</v>
      </c>
      <c r="N134" s="132"/>
      <c r="O134" s="67">
        <f t="shared" si="24"/>
        <v>0</v>
      </c>
      <c r="P134" s="67">
        <f t="shared" si="25"/>
        <v>0</v>
      </c>
    </row>
    <row r="135" spans="2:16">
      <c r="B135" s="9" t="str">
        <f t="shared" si="18"/>
        <v/>
      </c>
      <c r="C135" s="62">
        <f>IF(D93="","-",+C134+1)</f>
        <v>2051</v>
      </c>
      <c r="D135" s="63">
        <f>IF(F134+SUM(E$99:E134)=D$92,F134,D$92-SUM(E$99:E134))</f>
        <v>0</v>
      </c>
      <c r="E135" s="69">
        <f t="shared" si="19"/>
        <v>0</v>
      </c>
      <c r="F135" s="68">
        <f t="shared" si="20"/>
        <v>0</v>
      </c>
      <c r="G135" s="68">
        <f t="shared" si="21"/>
        <v>0</v>
      </c>
      <c r="H135" s="130">
        <f t="shared" si="15"/>
        <v>0</v>
      </c>
      <c r="I135" s="139">
        <f t="shared" si="16"/>
        <v>0</v>
      </c>
      <c r="J135" s="67">
        <f t="shared" si="22"/>
        <v>0</v>
      </c>
      <c r="K135" s="67"/>
      <c r="L135" s="132"/>
      <c r="M135" s="67">
        <f t="shared" si="23"/>
        <v>0</v>
      </c>
      <c r="N135" s="132"/>
      <c r="O135" s="67">
        <f t="shared" si="24"/>
        <v>0</v>
      </c>
      <c r="P135" s="67">
        <f t="shared" si="25"/>
        <v>0</v>
      </c>
    </row>
    <row r="136" spans="2:16">
      <c r="B136" s="9" t="str">
        <f t="shared" si="18"/>
        <v/>
      </c>
      <c r="C136" s="62">
        <f>IF(D93="","-",+C135+1)</f>
        <v>2052</v>
      </c>
      <c r="D136" s="63">
        <f>IF(F135+SUM(E$99:E135)=D$92,F135,D$92-SUM(E$99:E135))</f>
        <v>0</v>
      </c>
      <c r="E136" s="69">
        <f t="shared" si="19"/>
        <v>0</v>
      </c>
      <c r="F136" s="68">
        <f t="shared" si="20"/>
        <v>0</v>
      </c>
      <c r="G136" s="68">
        <f t="shared" si="21"/>
        <v>0</v>
      </c>
      <c r="H136" s="130">
        <f t="shared" si="15"/>
        <v>0</v>
      </c>
      <c r="I136" s="139">
        <f t="shared" si="16"/>
        <v>0</v>
      </c>
      <c r="J136" s="67">
        <f t="shared" si="22"/>
        <v>0</v>
      </c>
      <c r="K136" s="67"/>
      <c r="L136" s="132"/>
      <c r="M136" s="67">
        <f t="shared" si="23"/>
        <v>0</v>
      </c>
      <c r="N136" s="132"/>
      <c r="O136" s="67">
        <f t="shared" si="24"/>
        <v>0</v>
      </c>
      <c r="P136" s="67">
        <f t="shared" si="25"/>
        <v>0</v>
      </c>
    </row>
    <row r="137" spans="2:16">
      <c r="B137" s="9" t="str">
        <f t="shared" si="18"/>
        <v/>
      </c>
      <c r="C137" s="62">
        <f>IF(D93="","-",+C136+1)</f>
        <v>2053</v>
      </c>
      <c r="D137" s="63">
        <f>IF(F136+SUM(E$99:E136)=D$92,F136,D$92-SUM(E$99:E136))</f>
        <v>0</v>
      </c>
      <c r="E137" s="69">
        <f t="shared" si="19"/>
        <v>0</v>
      </c>
      <c r="F137" s="68">
        <f t="shared" si="20"/>
        <v>0</v>
      </c>
      <c r="G137" s="68">
        <f t="shared" si="21"/>
        <v>0</v>
      </c>
      <c r="H137" s="130">
        <f t="shared" si="15"/>
        <v>0</v>
      </c>
      <c r="I137" s="139">
        <f t="shared" si="16"/>
        <v>0</v>
      </c>
      <c r="J137" s="67">
        <f t="shared" si="22"/>
        <v>0</v>
      </c>
      <c r="K137" s="67"/>
      <c r="L137" s="132"/>
      <c r="M137" s="67">
        <f t="shared" si="23"/>
        <v>0</v>
      </c>
      <c r="N137" s="132"/>
      <c r="O137" s="67">
        <f t="shared" si="24"/>
        <v>0</v>
      </c>
      <c r="P137" s="67">
        <f t="shared" si="25"/>
        <v>0</v>
      </c>
    </row>
    <row r="138" spans="2:16">
      <c r="B138" s="9" t="str">
        <f t="shared" si="18"/>
        <v/>
      </c>
      <c r="C138" s="62">
        <f>IF(D93="","-",+C137+1)</f>
        <v>2054</v>
      </c>
      <c r="D138" s="63">
        <f>IF(F137+SUM(E$99:E137)=D$92,F137,D$92-SUM(E$99:E137))</f>
        <v>0</v>
      </c>
      <c r="E138" s="69">
        <f t="shared" si="19"/>
        <v>0</v>
      </c>
      <c r="F138" s="68">
        <f t="shared" si="20"/>
        <v>0</v>
      </c>
      <c r="G138" s="68">
        <f t="shared" si="21"/>
        <v>0</v>
      </c>
      <c r="H138" s="130">
        <f t="shared" si="15"/>
        <v>0</v>
      </c>
      <c r="I138" s="139">
        <f t="shared" si="16"/>
        <v>0</v>
      </c>
      <c r="J138" s="67">
        <f t="shared" si="22"/>
        <v>0</v>
      </c>
      <c r="K138" s="67"/>
      <c r="L138" s="132"/>
      <c r="M138" s="67">
        <f t="shared" si="23"/>
        <v>0</v>
      </c>
      <c r="N138" s="132"/>
      <c r="O138" s="67">
        <f t="shared" si="24"/>
        <v>0</v>
      </c>
      <c r="P138" s="67">
        <f t="shared" si="25"/>
        <v>0</v>
      </c>
    </row>
    <row r="139" spans="2:16">
      <c r="B139" s="9" t="str">
        <f t="shared" si="18"/>
        <v/>
      </c>
      <c r="C139" s="62">
        <f>IF(D93="","-",+C138+1)</f>
        <v>2055</v>
      </c>
      <c r="D139" s="63">
        <f>IF(F138+SUM(E$99:E138)=D$92,F138,D$92-SUM(E$99:E138))</f>
        <v>0</v>
      </c>
      <c r="E139" s="69">
        <f t="shared" si="19"/>
        <v>0</v>
      </c>
      <c r="F139" s="68">
        <f t="shared" si="20"/>
        <v>0</v>
      </c>
      <c r="G139" s="68">
        <f t="shared" si="21"/>
        <v>0</v>
      </c>
      <c r="H139" s="130">
        <f t="shared" si="15"/>
        <v>0</v>
      </c>
      <c r="I139" s="139">
        <f t="shared" si="16"/>
        <v>0</v>
      </c>
      <c r="J139" s="67">
        <f t="shared" si="22"/>
        <v>0</v>
      </c>
      <c r="K139" s="67"/>
      <c r="L139" s="132"/>
      <c r="M139" s="67">
        <f t="shared" si="23"/>
        <v>0</v>
      </c>
      <c r="N139" s="132"/>
      <c r="O139" s="67">
        <f t="shared" si="24"/>
        <v>0</v>
      </c>
      <c r="P139" s="67">
        <f t="shared" si="25"/>
        <v>0</v>
      </c>
    </row>
    <row r="140" spans="2:16">
      <c r="B140" s="9" t="str">
        <f t="shared" si="18"/>
        <v/>
      </c>
      <c r="C140" s="62">
        <f>IF(D93="","-",+C139+1)</f>
        <v>2056</v>
      </c>
      <c r="D140" s="63">
        <f>IF(F139+SUM(E$99:E139)=D$92,F139,D$92-SUM(E$99:E139))</f>
        <v>0</v>
      </c>
      <c r="E140" s="69">
        <f t="shared" si="19"/>
        <v>0</v>
      </c>
      <c r="F140" s="68">
        <f t="shared" si="20"/>
        <v>0</v>
      </c>
      <c r="G140" s="68">
        <f t="shared" si="21"/>
        <v>0</v>
      </c>
      <c r="H140" s="130">
        <f t="shared" si="15"/>
        <v>0</v>
      </c>
      <c r="I140" s="139">
        <f t="shared" si="16"/>
        <v>0</v>
      </c>
      <c r="J140" s="67">
        <f t="shared" si="22"/>
        <v>0</v>
      </c>
      <c r="K140" s="67"/>
      <c r="L140" s="132"/>
      <c r="M140" s="67">
        <f t="shared" si="23"/>
        <v>0</v>
      </c>
      <c r="N140" s="132"/>
      <c r="O140" s="67">
        <f t="shared" si="24"/>
        <v>0</v>
      </c>
      <c r="P140" s="67">
        <f t="shared" si="25"/>
        <v>0</v>
      </c>
    </row>
    <row r="141" spans="2:16">
      <c r="B141" s="9" t="str">
        <f t="shared" si="18"/>
        <v/>
      </c>
      <c r="C141" s="62">
        <f>IF(D93="","-",+C140+1)</f>
        <v>2057</v>
      </c>
      <c r="D141" s="63">
        <f>IF(F140+SUM(E$99:E140)=D$92,F140,D$92-SUM(E$99:E140))</f>
        <v>0</v>
      </c>
      <c r="E141" s="69">
        <f t="shared" si="19"/>
        <v>0</v>
      </c>
      <c r="F141" s="68">
        <f t="shared" si="20"/>
        <v>0</v>
      </c>
      <c r="G141" s="68">
        <f t="shared" si="21"/>
        <v>0</v>
      </c>
      <c r="H141" s="130">
        <f t="shared" si="15"/>
        <v>0</v>
      </c>
      <c r="I141" s="139">
        <f t="shared" si="16"/>
        <v>0</v>
      </c>
      <c r="J141" s="67">
        <f t="shared" si="22"/>
        <v>0</v>
      </c>
      <c r="K141" s="67"/>
      <c r="L141" s="132"/>
      <c r="M141" s="67">
        <f t="shared" si="23"/>
        <v>0</v>
      </c>
      <c r="N141" s="132"/>
      <c r="O141" s="67">
        <f t="shared" si="24"/>
        <v>0</v>
      </c>
      <c r="P141" s="67">
        <f t="shared" si="25"/>
        <v>0</v>
      </c>
    </row>
    <row r="142" spans="2:16">
      <c r="B142" s="9" t="str">
        <f t="shared" si="18"/>
        <v/>
      </c>
      <c r="C142" s="62">
        <f>IF(D93="","-",+C141+1)</f>
        <v>2058</v>
      </c>
      <c r="D142" s="63">
        <f>IF(F141+SUM(E$99:E141)=D$92,F141,D$92-SUM(E$99:E141))</f>
        <v>0</v>
      </c>
      <c r="E142" s="69">
        <f t="shared" si="19"/>
        <v>0</v>
      </c>
      <c r="F142" s="68">
        <f t="shared" si="20"/>
        <v>0</v>
      </c>
      <c r="G142" s="68">
        <f t="shared" si="21"/>
        <v>0</v>
      </c>
      <c r="H142" s="130">
        <f t="shared" si="15"/>
        <v>0</v>
      </c>
      <c r="I142" s="139">
        <f t="shared" si="16"/>
        <v>0</v>
      </c>
      <c r="J142" s="67">
        <f t="shared" si="22"/>
        <v>0</v>
      </c>
      <c r="K142" s="67"/>
      <c r="L142" s="132"/>
      <c r="M142" s="67">
        <f t="shared" si="23"/>
        <v>0</v>
      </c>
      <c r="N142" s="132"/>
      <c r="O142" s="67">
        <f t="shared" si="24"/>
        <v>0</v>
      </c>
      <c r="P142" s="67">
        <f t="shared" si="25"/>
        <v>0</v>
      </c>
    </row>
    <row r="143" spans="2:16">
      <c r="B143" s="9" t="str">
        <f t="shared" si="18"/>
        <v/>
      </c>
      <c r="C143" s="62">
        <f>IF(D93="","-",+C142+1)</f>
        <v>2059</v>
      </c>
      <c r="D143" s="63">
        <f>IF(F142+SUM(E$99:E142)=D$92,F142,D$92-SUM(E$99:E142))</f>
        <v>0</v>
      </c>
      <c r="E143" s="69">
        <f t="shared" si="19"/>
        <v>0</v>
      </c>
      <c r="F143" s="68">
        <f t="shared" si="20"/>
        <v>0</v>
      </c>
      <c r="G143" s="68">
        <f t="shared" si="21"/>
        <v>0</v>
      </c>
      <c r="H143" s="130">
        <f t="shared" si="15"/>
        <v>0</v>
      </c>
      <c r="I143" s="139">
        <f t="shared" si="16"/>
        <v>0</v>
      </c>
      <c r="J143" s="67">
        <f t="shared" si="22"/>
        <v>0</v>
      </c>
      <c r="K143" s="67"/>
      <c r="L143" s="132"/>
      <c r="M143" s="67">
        <f t="shared" si="23"/>
        <v>0</v>
      </c>
      <c r="N143" s="132"/>
      <c r="O143" s="67">
        <f t="shared" si="24"/>
        <v>0</v>
      </c>
      <c r="P143" s="67">
        <f t="shared" si="25"/>
        <v>0</v>
      </c>
    </row>
    <row r="144" spans="2:16">
      <c r="B144" s="9" t="str">
        <f t="shared" si="18"/>
        <v/>
      </c>
      <c r="C144" s="62">
        <f>IF(D93="","-",+C143+1)</f>
        <v>2060</v>
      </c>
      <c r="D144" s="63">
        <f>IF(F143+SUM(E$99:E143)=D$92,F143,D$92-SUM(E$99:E143))</f>
        <v>0</v>
      </c>
      <c r="E144" s="69">
        <f t="shared" si="19"/>
        <v>0</v>
      </c>
      <c r="F144" s="68">
        <f t="shared" si="20"/>
        <v>0</v>
      </c>
      <c r="G144" s="68">
        <f t="shared" si="21"/>
        <v>0</v>
      </c>
      <c r="H144" s="130">
        <f t="shared" si="15"/>
        <v>0</v>
      </c>
      <c r="I144" s="139">
        <f t="shared" si="16"/>
        <v>0</v>
      </c>
      <c r="J144" s="67">
        <f t="shared" si="22"/>
        <v>0</v>
      </c>
      <c r="K144" s="67"/>
      <c r="L144" s="132"/>
      <c r="M144" s="67">
        <f t="shared" si="23"/>
        <v>0</v>
      </c>
      <c r="N144" s="132"/>
      <c r="O144" s="67">
        <f t="shared" si="24"/>
        <v>0</v>
      </c>
      <c r="P144" s="67">
        <f t="shared" si="25"/>
        <v>0</v>
      </c>
    </row>
    <row r="145" spans="2:16">
      <c r="B145" s="9" t="str">
        <f t="shared" si="18"/>
        <v/>
      </c>
      <c r="C145" s="62">
        <f>IF(D93="","-",+C144+1)</f>
        <v>2061</v>
      </c>
      <c r="D145" s="63">
        <f>IF(F144+SUM(E$99:E144)=D$92,F144,D$92-SUM(E$99:E144))</f>
        <v>0</v>
      </c>
      <c r="E145" s="69">
        <f t="shared" si="19"/>
        <v>0</v>
      </c>
      <c r="F145" s="68">
        <f t="shared" si="20"/>
        <v>0</v>
      </c>
      <c r="G145" s="68">
        <f t="shared" si="21"/>
        <v>0</v>
      </c>
      <c r="H145" s="130">
        <f t="shared" si="15"/>
        <v>0</v>
      </c>
      <c r="I145" s="139">
        <f t="shared" si="16"/>
        <v>0</v>
      </c>
      <c r="J145" s="67">
        <f t="shared" si="22"/>
        <v>0</v>
      </c>
      <c r="K145" s="67"/>
      <c r="L145" s="132"/>
      <c r="M145" s="67">
        <f t="shared" si="23"/>
        <v>0</v>
      </c>
      <c r="N145" s="132"/>
      <c r="O145" s="67">
        <f t="shared" si="24"/>
        <v>0</v>
      </c>
      <c r="P145" s="67">
        <f t="shared" si="25"/>
        <v>0</v>
      </c>
    </row>
    <row r="146" spans="2:16">
      <c r="B146" s="9" t="str">
        <f t="shared" si="18"/>
        <v/>
      </c>
      <c r="C146" s="62">
        <f>IF(D93="","-",+C145+1)</f>
        <v>2062</v>
      </c>
      <c r="D146" s="63">
        <f>IF(F145+SUM(E$99:E145)=D$92,F145,D$92-SUM(E$99:E145))</f>
        <v>0</v>
      </c>
      <c r="E146" s="69">
        <f t="shared" si="19"/>
        <v>0</v>
      </c>
      <c r="F146" s="68">
        <f t="shared" si="20"/>
        <v>0</v>
      </c>
      <c r="G146" s="68">
        <f t="shared" si="21"/>
        <v>0</v>
      </c>
      <c r="H146" s="130">
        <f t="shared" si="15"/>
        <v>0</v>
      </c>
      <c r="I146" s="139">
        <f t="shared" si="16"/>
        <v>0</v>
      </c>
      <c r="J146" s="67">
        <f t="shared" si="22"/>
        <v>0</v>
      </c>
      <c r="K146" s="67"/>
      <c r="L146" s="132"/>
      <c r="M146" s="67">
        <f t="shared" si="23"/>
        <v>0</v>
      </c>
      <c r="N146" s="132"/>
      <c r="O146" s="67">
        <f t="shared" si="24"/>
        <v>0</v>
      </c>
      <c r="P146" s="67">
        <f t="shared" si="25"/>
        <v>0</v>
      </c>
    </row>
    <row r="147" spans="2:16">
      <c r="B147" s="9" t="str">
        <f t="shared" si="18"/>
        <v/>
      </c>
      <c r="C147" s="62">
        <f>IF(D93="","-",+C146+1)</f>
        <v>2063</v>
      </c>
      <c r="D147" s="63">
        <f>IF(F146+SUM(E$99:E146)=D$92,F146,D$92-SUM(E$99:E146))</f>
        <v>0</v>
      </c>
      <c r="E147" s="69">
        <f t="shared" si="19"/>
        <v>0</v>
      </c>
      <c r="F147" s="68">
        <f t="shared" si="20"/>
        <v>0</v>
      </c>
      <c r="G147" s="68">
        <f t="shared" si="21"/>
        <v>0</v>
      </c>
      <c r="H147" s="130">
        <f t="shared" si="15"/>
        <v>0</v>
      </c>
      <c r="I147" s="139">
        <f t="shared" si="16"/>
        <v>0</v>
      </c>
      <c r="J147" s="67">
        <f t="shared" si="22"/>
        <v>0</v>
      </c>
      <c r="K147" s="67"/>
      <c r="L147" s="132"/>
      <c r="M147" s="67">
        <f t="shared" si="23"/>
        <v>0</v>
      </c>
      <c r="N147" s="132"/>
      <c r="O147" s="67">
        <f t="shared" si="24"/>
        <v>0</v>
      </c>
      <c r="P147" s="67">
        <f t="shared" si="25"/>
        <v>0</v>
      </c>
    </row>
    <row r="148" spans="2:16">
      <c r="B148" s="9" t="str">
        <f t="shared" si="18"/>
        <v/>
      </c>
      <c r="C148" s="62">
        <f>IF(D93="","-",+C147+1)</f>
        <v>2064</v>
      </c>
      <c r="D148" s="63">
        <f>IF(F147+SUM(E$99:E147)=D$92,F147,D$92-SUM(E$99:E147))</f>
        <v>0</v>
      </c>
      <c r="E148" s="69">
        <f t="shared" si="19"/>
        <v>0</v>
      </c>
      <c r="F148" s="68">
        <f t="shared" si="20"/>
        <v>0</v>
      </c>
      <c r="G148" s="68">
        <f t="shared" si="21"/>
        <v>0</v>
      </c>
      <c r="H148" s="130">
        <f t="shared" si="15"/>
        <v>0</v>
      </c>
      <c r="I148" s="139">
        <f t="shared" si="16"/>
        <v>0</v>
      </c>
      <c r="J148" s="67">
        <f t="shared" si="22"/>
        <v>0</v>
      </c>
      <c r="K148" s="67"/>
      <c r="L148" s="132"/>
      <c r="M148" s="67">
        <f t="shared" si="23"/>
        <v>0</v>
      </c>
      <c r="N148" s="132"/>
      <c r="O148" s="67">
        <f t="shared" si="24"/>
        <v>0</v>
      </c>
      <c r="P148" s="67">
        <f t="shared" si="25"/>
        <v>0</v>
      </c>
    </row>
    <row r="149" spans="2:16">
      <c r="B149" s="9" t="str">
        <f t="shared" si="18"/>
        <v/>
      </c>
      <c r="C149" s="62">
        <f>IF(D93="","-",+C148+1)</f>
        <v>2065</v>
      </c>
      <c r="D149" s="63">
        <f>IF(F148+SUM(E$99:E148)=D$92,F148,D$92-SUM(E$99:E148))</f>
        <v>0</v>
      </c>
      <c r="E149" s="69">
        <f t="shared" si="19"/>
        <v>0</v>
      </c>
      <c r="F149" s="68">
        <f t="shared" si="20"/>
        <v>0</v>
      </c>
      <c r="G149" s="68">
        <f t="shared" si="21"/>
        <v>0</v>
      </c>
      <c r="H149" s="130">
        <f t="shared" si="15"/>
        <v>0</v>
      </c>
      <c r="I149" s="139">
        <f t="shared" si="16"/>
        <v>0</v>
      </c>
      <c r="J149" s="67">
        <f t="shared" si="22"/>
        <v>0</v>
      </c>
      <c r="K149" s="67"/>
      <c r="L149" s="132"/>
      <c r="M149" s="67">
        <f t="shared" si="23"/>
        <v>0</v>
      </c>
      <c r="N149" s="132"/>
      <c r="O149" s="67">
        <f t="shared" si="24"/>
        <v>0</v>
      </c>
      <c r="P149" s="67">
        <f t="shared" si="25"/>
        <v>0</v>
      </c>
    </row>
    <row r="150" spans="2:16">
      <c r="B150" s="9" t="str">
        <f t="shared" si="18"/>
        <v/>
      </c>
      <c r="C150" s="62">
        <f>IF(D93="","-",+C149+1)</f>
        <v>2066</v>
      </c>
      <c r="D150" s="63">
        <f>IF(F149+SUM(E$99:E149)=D$92,F149,D$92-SUM(E$99:E149))</f>
        <v>0</v>
      </c>
      <c r="E150" s="69">
        <f t="shared" si="19"/>
        <v>0</v>
      </c>
      <c r="F150" s="68">
        <f t="shared" si="20"/>
        <v>0</v>
      </c>
      <c r="G150" s="68">
        <f t="shared" si="21"/>
        <v>0</v>
      </c>
      <c r="H150" s="130">
        <f t="shared" si="15"/>
        <v>0</v>
      </c>
      <c r="I150" s="139">
        <f t="shared" si="16"/>
        <v>0</v>
      </c>
      <c r="J150" s="67">
        <f t="shared" si="22"/>
        <v>0</v>
      </c>
      <c r="K150" s="67"/>
      <c r="L150" s="132"/>
      <c r="M150" s="67">
        <f t="shared" si="23"/>
        <v>0</v>
      </c>
      <c r="N150" s="132"/>
      <c r="O150" s="67">
        <f t="shared" si="24"/>
        <v>0</v>
      </c>
      <c r="P150" s="67">
        <f t="shared" si="25"/>
        <v>0</v>
      </c>
    </row>
    <row r="151" spans="2:16">
      <c r="B151" s="9" t="str">
        <f t="shared" si="18"/>
        <v/>
      </c>
      <c r="C151" s="62">
        <f>IF(D93="","-",+C150+1)</f>
        <v>2067</v>
      </c>
      <c r="D151" s="63">
        <f>IF(F150+SUM(E$99:E150)=D$92,F150,D$92-SUM(E$99:E150))</f>
        <v>0</v>
      </c>
      <c r="E151" s="69">
        <f t="shared" si="19"/>
        <v>0</v>
      </c>
      <c r="F151" s="68">
        <f t="shared" si="20"/>
        <v>0</v>
      </c>
      <c r="G151" s="68">
        <f t="shared" si="21"/>
        <v>0</v>
      </c>
      <c r="H151" s="130">
        <f t="shared" si="15"/>
        <v>0</v>
      </c>
      <c r="I151" s="139">
        <f t="shared" si="16"/>
        <v>0</v>
      </c>
      <c r="J151" s="67">
        <f t="shared" si="22"/>
        <v>0</v>
      </c>
      <c r="K151" s="67"/>
      <c r="L151" s="132"/>
      <c r="M151" s="67">
        <f t="shared" si="23"/>
        <v>0</v>
      </c>
      <c r="N151" s="132"/>
      <c r="O151" s="67">
        <f t="shared" si="24"/>
        <v>0</v>
      </c>
      <c r="P151" s="67">
        <f t="shared" si="25"/>
        <v>0</v>
      </c>
    </row>
    <row r="152" spans="2:16">
      <c r="B152" s="9" t="str">
        <f t="shared" si="18"/>
        <v/>
      </c>
      <c r="C152" s="62">
        <f>IF(D93="","-",+C151+1)</f>
        <v>2068</v>
      </c>
      <c r="D152" s="63">
        <f>IF(F151+SUM(E$99:E151)=D$92,F151,D$92-SUM(E$99:E151))</f>
        <v>0</v>
      </c>
      <c r="E152" s="69">
        <f t="shared" si="19"/>
        <v>0</v>
      </c>
      <c r="F152" s="68">
        <f t="shared" si="20"/>
        <v>0</v>
      </c>
      <c r="G152" s="68">
        <f t="shared" si="21"/>
        <v>0</v>
      </c>
      <c r="H152" s="130">
        <f t="shared" si="15"/>
        <v>0</v>
      </c>
      <c r="I152" s="139">
        <f t="shared" si="16"/>
        <v>0</v>
      </c>
      <c r="J152" s="67">
        <f t="shared" si="22"/>
        <v>0</v>
      </c>
      <c r="K152" s="67"/>
      <c r="L152" s="132"/>
      <c r="M152" s="67">
        <f t="shared" si="23"/>
        <v>0</v>
      </c>
      <c r="N152" s="132"/>
      <c r="O152" s="67">
        <f t="shared" si="24"/>
        <v>0</v>
      </c>
      <c r="P152" s="67">
        <f t="shared" si="25"/>
        <v>0</v>
      </c>
    </row>
    <row r="153" spans="2:16">
      <c r="B153" s="9" t="str">
        <f t="shared" si="18"/>
        <v/>
      </c>
      <c r="C153" s="62">
        <f>IF(D93="","-",+C152+1)</f>
        <v>2069</v>
      </c>
      <c r="D153" s="63">
        <f>IF(F152+SUM(E$99:E152)=D$92,F152,D$92-SUM(E$99:E152))</f>
        <v>0</v>
      </c>
      <c r="E153" s="69">
        <f t="shared" si="19"/>
        <v>0</v>
      </c>
      <c r="F153" s="68">
        <f t="shared" si="20"/>
        <v>0</v>
      </c>
      <c r="G153" s="68">
        <f t="shared" si="21"/>
        <v>0</v>
      </c>
      <c r="H153" s="130">
        <f t="shared" si="15"/>
        <v>0</v>
      </c>
      <c r="I153" s="139">
        <f t="shared" si="16"/>
        <v>0</v>
      </c>
      <c r="J153" s="67">
        <f t="shared" si="22"/>
        <v>0</v>
      </c>
      <c r="K153" s="67"/>
      <c r="L153" s="132"/>
      <c r="M153" s="67">
        <f t="shared" si="23"/>
        <v>0</v>
      </c>
      <c r="N153" s="132"/>
      <c r="O153" s="67">
        <f t="shared" si="24"/>
        <v>0</v>
      </c>
      <c r="P153" s="67">
        <f t="shared" si="25"/>
        <v>0</v>
      </c>
    </row>
    <row r="154" spans="2:16" ht="13.5" thickBot="1">
      <c r="B154" s="9" t="str">
        <f t="shared" si="18"/>
        <v/>
      </c>
      <c r="C154" s="72">
        <f>IF(D93="","-",+C153+1)</f>
        <v>2070</v>
      </c>
      <c r="D154" s="98">
        <f>IF(F153+SUM(E$99:E153)=D$92,F153,D$92-SUM(E$99:E153))</f>
        <v>0</v>
      </c>
      <c r="E154" s="74">
        <f t="shared" si="19"/>
        <v>0</v>
      </c>
      <c r="F154" s="73">
        <f t="shared" si="20"/>
        <v>0</v>
      </c>
      <c r="G154" s="73">
        <f t="shared" si="21"/>
        <v>0</v>
      </c>
      <c r="H154" s="140">
        <f t="shared" si="15"/>
        <v>0</v>
      </c>
      <c r="I154" s="141">
        <f t="shared" si="16"/>
        <v>0</v>
      </c>
      <c r="J154" s="76">
        <f t="shared" si="22"/>
        <v>0</v>
      </c>
      <c r="K154" s="67"/>
      <c r="L154" s="133"/>
      <c r="M154" s="76">
        <f t="shared" si="23"/>
        <v>0</v>
      </c>
      <c r="N154" s="133"/>
      <c r="O154" s="76">
        <f t="shared" si="24"/>
        <v>0</v>
      </c>
      <c r="P154" s="76">
        <f t="shared" si="25"/>
        <v>0</v>
      </c>
    </row>
    <row r="155" spans="2:16">
      <c r="C155" s="63" t="s">
        <v>77</v>
      </c>
      <c r="D155" s="20"/>
      <c r="E155" s="20">
        <f>SUM(E99:E154)</f>
        <v>0</v>
      </c>
      <c r="F155" s="20"/>
      <c r="G155" s="20"/>
      <c r="H155" s="20">
        <f>SUM(H99:H154)</f>
        <v>0</v>
      </c>
      <c r="I155" s="20">
        <f>SUM(I99:I154)</f>
        <v>0</v>
      </c>
      <c r="J155" s="20">
        <f>SUM(J99:J154)</f>
        <v>0</v>
      </c>
      <c r="K155" s="20"/>
      <c r="L155" s="20"/>
      <c r="M155" s="20"/>
      <c r="N155" s="20"/>
      <c r="O155" s="20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20"/>
      <c r="L156" s="3"/>
      <c r="M156" s="3"/>
      <c r="N156" s="3"/>
      <c r="O156" s="3"/>
      <c r="P156" s="1"/>
    </row>
    <row r="157" spans="2:16">
      <c r="C157" s="99"/>
      <c r="D157" s="2"/>
      <c r="E157" s="1"/>
      <c r="F157" s="1"/>
      <c r="G157" s="1"/>
      <c r="H157" s="1"/>
      <c r="I157" s="3"/>
      <c r="J157" s="3"/>
      <c r="K157" s="20"/>
      <c r="L157" s="3"/>
      <c r="M157" s="3"/>
      <c r="N157" s="3"/>
      <c r="O157" s="3"/>
      <c r="P157" s="1"/>
    </row>
    <row r="158" spans="2:16">
      <c r="C158" s="115" t="s">
        <v>149</v>
      </c>
      <c r="D158" s="2"/>
      <c r="E158" s="1"/>
      <c r="F158" s="1"/>
      <c r="G158" s="1"/>
      <c r="H158" s="1"/>
      <c r="I158" s="3"/>
      <c r="J158" s="3"/>
      <c r="K158" s="20"/>
      <c r="L158" s="3"/>
      <c r="M158" s="3"/>
      <c r="N158" s="3"/>
      <c r="O158" s="3"/>
      <c r="P158" s="1"/>
    </row>
    <row r="159" spans="2:16">
      <c r="C159" s="32" t="s">
        <v>78</v>
      </c>
      <c r="D159" s="63"/>
      <c r="E159" s="63"/>
      <c r="F159" s="63"/>
      <c r="G159" s="63"/>
      <c r="H159" s="20"/>
      <c r="I159" s="20"/>
      <c r="J159" s="78"/>
      <c r="K159" s="78"/>
      <c r="L159" s="78"/>
      <c r="M159" s="78"/>
      <c r="N159" s="78"/>
      <c r="O159" s="78"/>
      <c r="P159" s="1"/>
    </row>
    <row r="160" spans="2:16">
      <c r="C160" s="100" t="s">
        <v>79</v>
      </c>
      <c r="D160" s="63"/>
      <c r="E160" s="63"/>
      <c r="F160" s="63"/>
      <c r="G160" s="63"/>
      <c r="H160" s="20"/>
      <c r="I160" s="20"/>
      <c r="J160" s="78"/>
      <c r="K160" s="78"/>
      <c r="L160" s="78"/>
      <c r="M160" s="78"/>
      <c r="N160" s="78"/>
      <c r="O160" s="78"/>
      <c r="P160" s="1"/>
    </row>
    <row r="161" spans="3:16">
      <c r="C161" s="100"/>
      <c r="D161" s="63"/>
      <c r="E161" s="63"/>
      <c r="F161" s="63"/>
      <c r="G161" s="63"/>
      <c r="H161" s="20"/>
      <c r="I161" s="20"/>
      <c r="J161" s="78"/>
      <c r="K161" s="78"/>
      <c r="L161" s="78"/>
      <c r="M161" s="78"/>
      <c r="N161" s="78"/>
      <c r="O161" s="78"/>
      <c r="P161" s="1"/>
    </row>
    <row r="162" spans="3:16" ht="18">
      <c r="C162" s="100"/>
      <c r="D162" s="63"/>
      <c r="E162" s="63"/>
      <c r="F162" s="63"/>
      <c r="G162" s="63"/>
      <c r="H162" s="20"/>
      <c r="I162" s="20"/>
      <c r="J162" s="78"/>
      <c r="K162" s="78"/>
      <c r="L162" s="78"/>
      <c r="M162" s="78"/>
      <c r="N162" s="78"/>
      <c r="P162" s="112" t="s">
        <v>145</v>
      </c>
    </row>
  </sheetData>
  <phoneticPr fontId="0" type="noConversion"/>
  <conditionalFormatting sqref="C17:C72">
    <cfRule type="cellIs" dxfId="1" priority="1" stopIfTrue="1" operator="equal">
      <formula>$I$10</formula>
    </cfRule>
  </conditionalFormatting>
  <conditionalFormatting sqref="C99:C154">
    <cfRule type="cellIs" dxfId="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9"/>
  <dimension ref="A1:P162"/>
  <sheetViews>
    <sheetView topLeftCell="A10" zoomScaleNormal="100" zoomScaleSheetLayoutView="80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14062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1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 t="str">
        <f>RIGHT(N3,3)</f>
        <v/>
      </c>
      <c r="P3" s="41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92514.814817027102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92514.814817027102</v>
      </c>
      <c r="O6" s="233"/>
      <c r="P6" s="233"/>
    </row>
    <row r="7" spans="1:16" ht="13.5" thickBot="1">
      <c r="C7" s="431" t="s">
        <v>46</v>
      </c>
      <c r="D7" s="432" t="s">
        <v>209</v>
      </c>
      <c r="E7" s="332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49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f>893858</f>
        <v>893858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2009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IF(D10=0,0,ROUND(D10/D13,0))</f>
        <v>20787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C17" s="472">
        <f>IF(D11= "","-",D11)</f>
        <v>2009</v>
      </c>
      <c r="D17" s="473">
        <v>579098</v>
      </c>
      <c r="E17" s="474">
        <v>5463</v>
      </c>
      <c r="F17" s="473">
        <v>573635</v>
      </c>
      <c r="G17" s="474">
        <v>56729</v>
      </c>
      <c r="H17" s="474">
        <v>56729</v>
      </c>
      <c r="I17" s="475">
        <f t="shared" ref="I17:I48" si="0">H17-G17</f>
        <v>0</v>
      </c>
      <c r="J17" s="475"/>
      <c r="K17" s="476">
        <v>56729</v>
      </c>
      <c r="L17" s="477">
        <f t="shared" ref="L17:L48" si="1">IF(K17&lt;&gt;0,+G17-K17,0)</f>
        <v>0</v>
      </c>
      <c r="M17" s="476">
        <v>56729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2010</v>
      </c>
      <c r="D18" s="479">
        <v>888395</v>
      </c>
      <c r="E18" s="480">
        <v>15962</v>
      </c>
      <c r="F18" s="479">
        <v>872433</v>
      </c>
      <c r="G18" s="480">
        <v>141851</v>
      </c>
      <c r="H18" s="481">
        <v>141851</v>
      </c>
      <c r="I18" s="475">
        <f t="shared" si="0"/>
        <v>0</v>
      </c>
      <c r="J18" s="475"/>
      <c r="K18" s="476">
        <f t="shared" ref="K18:K23" si="4">G18</f>
        <v>141851</v>
      </c>
      <c r="L18" s="478">
        <f t="shared" si="1"/>
        <v>0</v>
      </c>
      <c r="M18" s="476">
        <f t="shared" ref="M18:M23" si="5">H18</f>
        <v>141851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/>
      </c>
      <c r="C19" s="472">
        <f>IF(D11="","-",+C18+1)</f>
        <v>2011</v>
      </c>
      <c r="D19" s="479">
        <v>872433</v>
      </c>
      <c r="E19" s="480">
        <v>17527</v>
      </c>
      <c r="F19" s="479">
        <v>854906</v>
      </c>
      <c r="G19" s="480">
        <v>151356.84230707804</v>
      </c>
      <c r="H19" s="481">
        <v>151356.84230707804</v>
      </c>
      <c r="I19" s="475">
        <f t="shared" si="0"/>
        <v>0</v>
      </c>
      <c r="J19" s="475"/>
      <c r="K19" s="476">
        <f t="shared" si="4"/>
        <v>151356.84230707804</v>
      </c>
      <c r="L19" s="478">
        <f t="shared" si="1"/>
        <v>0</v>
      </c>
      <c r="M19" s="476">
        <f t="shared" si="5"/>
        <v>151356.84230707804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6">IF(D20=F19,"","IU")</f>
        <v/>
      </c>
      <c r="C20" s="482">
        <f>IF(D11="","-",+C19+1)</f>
        <v>2012</v>
      </c>
      <c r="D20" s="479">
        <v>854906</v>
      </c>
      <c r="E20" s="480">
        <v>17190</v>
      </c>
      <c r="F20" s="479">
        <v>837716</v>
      </c>
      <c r="G20" s="480">
        <v>133805.70830730975</v>
      </c>
      <c r="H20" s="481">
        <v>133805.70830730975</v>
      </c>
      <c r="I20" s="475">
        <f t="shared" si="0"/>
        <v>0</v>
      </c>
      <c r="J20" s="475"/>
      <c r="K20" s="476">
        <f t="shared" si="4"/>
        <v>133805.70830730975</v>
      </c>
      <c r="L20" s="478">
        <f t="shared" si="1"/>
        <v>0</v>
      </c>
      <c r="M20" s="476">
        <f t="shared" si="5"/>
        <v>133805.70830730975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6"/>
        <v/>
      </c>
      <c r="C21" s="482">
        <f>IF(D12="","-",+C20+1)</f>
        <v>2013</v>
      </c>
      <c r="D21" s="479">
        <v>837716</v>
      </c>
      <c r="E21" s="480">
        <v>17190</v>
      </c>
      <c r="F21" s="479">
        <v>820526</v>
      </c>
      <c r="G21" s="480">
        <v>134366.65985215519</v>
      </c>
      <c r="H21" s="481">
        <v>134366.65985215519</v>
      </c>
      <c r="I21" s="475">
        <v>0</v>
      </c>
      <c r="J21" s="475"/>
      <c r="K21" s="476">
        <f t="shared" si="4"/>
        <v>134366.65985215519</v>
      </c>
      <c r="L21" s="478">
        <f t="shared" ref="L21:L26" si="7">IF(K21&lt;&gt;0,+G21-K21,0)</f>
        <v>0</v>
      </c>
      <c r="M21" s="476">
        <f t="shared" si="5"/>
        <v>134366.65985215519</v>
      </c>
      <c r="N21" s="478">
        <f t="shared" ref="N21:N26" si="8">IF(M21&lt;&gt;0,+H21-M21,0)</f>
        <v>0</v>
      </c>
      <c r="O21" s="478">
        <f t="shared" ref="O21:O26" si="9">+N21-L21</f>
        <v>0</v>
      </c>
      <c r="P21" s="243"/>
    </row>
    <row r="22" spans="2:16">
      <c r="B22" s="160" t="str">
        <f t="shared" si="6"/>
        <v/>
      </c>
      <c r="C22" s="472">
        <f>IF(D11="","-",+C21+1)</f>
        <v>2014</v>
      </c>
      <c r="D22" s="479">
        <v>820526</v>
      </c>
      <c r="E22" s="480">
        <v>17190</v>
      </c>
      <c r="F22" s="479">
        <v>803336</v>
      </c>
      <c r="G22" s="480">
        <v>127776.24380165605</v>
      </c>
      <c r="H22" s="481">
        <v>127776.24380165605</v>
      </c>
      <c r="I22" s="475">
        <v>0</v>
      </c>
      <c r="J22" s="475"/>
      <c r="K22" s="476">
        <f t="shared" si="4"/>
        <v>127776.24380165605</v>
      </c>
      <c r="L22" s="478">
        <f t="shared" si="7"/>
        <v>0</v>
      </c>
      <c r="M22" s="476">
        <f t="shared" si="5"/>
        <v>127776.24380165605</v>
      </c>
      <c r="N22" s="478">
        <f t="shared" si="8"/>
        <v>0</v>
      </c>
      <c r="O22" s="478">
        <f t="shared" si="9"/>
        <v>0</v>
      </c>
      <c r="P22" s="243"/>
    </row>
    <row r="23" spans="2:16">
      <c r="B23" s="160" t="str">
        <f t="shared" si="6"/>
        <v/>
      </c>
      <c r="C23" s="472">
        <f>IF(D11="","-",+C22+1)</f>
        <v>2015</v>
      </c>
      <c r="D23" s="479">
        <v>803336</v>
      </c>
      <c r="E23" s="480">
        <v>17190</v>
      </c>
      <c r="F23" s="479">
        <v>786146</v>
      </c>
      <c r="G23" s="480">
        <v>125577.25148028173</v>
      </c>
      <c r="H23" s="481">
        <v>125577.25148028173</v>
      </c>
      <c r="I23" s="475">
        <v>0</v>
      </c>
      <c r="J23" s="475"/>
      <c r="K23" s="476">
        <f t="shared" si="4"/>
        <v>125577.25148028173</v>
      </c>
      <c r="L23" s="478">
        <f t="shared" si="7"/>
        <v>0</v>
      </c>
      <c r="M23" s="476">
        <f t="shared" si="5"/>
        <v>125577.25148028173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2016</v>
      </c>
      <c r="D24" s="479">
        <v>786146</v>
      </c>
      <c r="E24" s="480">
        <v>17190</v>
      </c>
      <c r="F24" s="479">
        <v>768956</v>
      </c>
      <c r="G24" s="480">
        <v>118045.98754263212</v>
      </c>
      <c r="H24" s="481">
        <v>118045.98754263212</v>
      </c>
      <c r="I24" s="475">
        <f t="shared" si="0"/>
        <v>0</v>
      </c>
      <c r="J24" s="475"/>
      <c r="K24" s="476">
        <f t="shared" ref="K24:K29" si="10">G24</f>
        <v>118045.98754263212</v>
      </c>
      <c r="L24" s="478">
        <f t="shared" si="7"/>
        <v>0</v>
      </c>
      <c r="M24" s="476">
        <f t="shared" ref="M24:M29" si="11">H24</f>
        <v>118045.98754263212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6"/>
        <v/>
      </c>
      <c r="C25" s="472">
        <f>IF(D11="","-",+C24+1)</f>
        <v>2017</v>
      </c>
      <c r="D25" s="479">
        <v>768956</v>
      </c>
      <c r="E25" s="480">
        <v>19432</v>
      </c>
      <c r="F25" s="479">
        <v>749524</v>
      </c>
      <c r="G25" s="480">
        <v>114816.91495996526</v>
      </c>
      <c r="H25" s="481">
        <v>114816.91495996526</v>
      </c>
      <c r="I25" s="475">
        <f t="shared" si="0"/>
        <v>0</v>
      </c>
      <c r="J25" s="475"/>
      <c r="K25" s="476">
        <f t="shared" si="10"/>
        <v>114816.91495996526</v>
      </c>
      <c r="L25" s="478">
        <f t="shared" si="7"/>
        <v>0</v>
      </c>
      <c r="M25" s="476">
        <f t="shared" si="11"/>
        <v>114816.91495996526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/>
      </c>
      <c r="C26" s="472">
        <f>IF(D11="","-",+C25+1)</f>
        <v>2018</v>
      </c>
      <c r="D26" s="479">
        <v>749524</v>
      </c>
      <c r="E26" s="480">
        <v>19864</v>
      </c>
      <c r="F26" s="479">
        <v>729660</v>
      </c>
      <c r="G26" s="480">
        <v>118612.83535736376</v>
      </c>
      <c r="H26" s="481">
        <v>118612.83535736376</v>
      </c>
      <c r="I26" s="475">
        <f t="shared" si="0"/>
        <v>0</v>
      </c>
      <c r="J26" s="475"/>
      <c r="K26" s="476">
        <f t="shared" si="10"/>
        <v>118612.83535736376</v>
      </c>
      <c r="L26" s="478">
        <f t="shared" si="7"/>
        <v>0</v>
      </c>
      <c r="M26" s="476">
        <f t="shared" si="11"/>
        <v>118612.83535736376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6"/>
        <v/>
      </c>
      <c r="C27" s="472">
        <f>IF(D11="","-",+C26+1)</f>
        <v>2019</v>
      </c>
      <c r="D27" s="479">
        <v>729660</v>
      </c>
      <c r="E27" s="480">
        <v>19864</v>
      </c>
      <c r="F27" s="479">
        <v>709796</v>
      </c>
      <c r="G27" s="480">
        <v>115924.53277048949</v>
      </c>
      <c r="H27" s="481">
        <v>115924.53277048949</v>
      </c>
      <c r="I27" s="475">
        <f t="shared" si="0"/>
        <v>0</v>
      </c>
      <c r="J27" s="475"/>
      <c r="K27" s="476">
        <f t="shared" si="10"/>
        <v>115924.53277048949</v>
      </c>
      <c r="L27" s="478">
        <f t="shared" ref="L27" si="12">IF(K27&lt;&gt;0,+G27-K27,0)</f>
        <v>0</v>
      </c>
      <c r="M27" s="476">
        <f t="shared" si="11"/>
        <v>115924.53277048949</v>
      </c>
      <c r="N27" s="478">
        <f t="shared" ref="N27" si="13">IF(M27&lt;&gt;0,+H27-M27,0)</f>
        <v>0</v>
      </c>
      <c r="O27" s="478">
        <f t="shared" ref="O27" si="14">+N27-L27</f>
        <v>0</v>
      </c>
      <c r="P27" s="243"/>
    </row>
    <row r="28" spans="2:16">
      <c r="B28" s="160" t="str">
        <f t="shared" si="6"/>
        <v/>
      </c>
      <c r="C28" s="472">
        <f>IF(D11="","-",+C27+1)</f>
        <v>2020</v>
      </c>
      <c r="D28" s="479">
        <v>709796</v>
      </c>
      <c r="E28" s="480">
        <v>21282</v>
      </c>
      <c r="F28" s="479">
        <v>688514</v>
      </c>
      <c r="G28" s="480">
        <v>96794.079800478314</v>
      </c>
      <c r="H28" s="481">
        <v>96794.079800478314</v>
      </c>
      <c r="I28" s="475">
        <f t="shared" si="0"/>
        <v>0</v>
      </c>
      <c r="J28" s="475"/>
      <c r="K28" s="476">
        <f t="shared" si="10"/>
        <v>96794.079800478314</v>
      </c>
      <c r="L28" s="478">
        <f t="shared" ref="L28" si="15">IF(K28&lt;&gt;0,+G28-K28,0)</f>
        <v>0</v>
      </c>
      <c r="M28" s="476">
        <f t="shared" si="11"/>
        <v>96794.079800478314</v>
      </c>
      <c r="N28" s="478">
        <f t="shared" si="2"/>
        <v>0</v>
      </c>
      <c r="O28" s="478">
        <f t="shared" si="3"/>
        <v>0</v>
      </c>
      <c r="P28" s="243"/>
    </row>
    <row r="29" spans="2:16">
      <c r="B29" s="160" t="str">
        <f t="shared" si="6"/>
        <v>IU</v>
      </c>
      <c r="C29" s="472">
        <f>IF(D11="","-",+C28+1)</f>
        <v>2021</v>
      </c>
      <c r="D29" s="479">
        <v>686032</v>
      </c>
      <c r="E29" s="480">
        <v>20787</v>
      </c>
      <c r="F29" s="479">
        <v>665245</v>
      </c>
      <c r="G29" s="480">
        <v>92514.814817027102</v>
      </c>
      <c r="H29" s="481">
        <v>92514.814817027102</v>
      </c>
      <c r="I29" s="475">
        <f t="shared" si="0"/>
        <v>0</v>
      </c>
      <c r="J29" s="475"/>
      <c r="K29" s="476">
        <f t="shared" si="10"/>
        <v>92514.814817027102</v>
      </c>
      <c r="L29" s="478">
        <f t="shared" ref="L29" si="16">IF(K29&lt;&gt;0,+G29-K29,0)</f>
        <v>0</v>
      </c>
      <c r="M29" s="476">
        <f t="shared" si="11"/>
        <v>92514.814817027102</v>
      </c>
      <c r="N29" s="478">
        <f t="shared" si="2"/>
        <v>0</v>
      </c>
      <c r="O29" s="478">
        <f t="shared" si="3"/>
        <v>0</v>
      </c>
      <c r="P29" s="243"/>
    </row>
    <row r="30" spans="2:16">
      <c r="B30" s="160" t="str">
        <f t="shared" si="6"/>
        <v>IU</v>
      </c>
      <c r="C30" s="472">
        <f>IF(D11="","-",+C29+1)</f>
        <v>2022</v>
      </c>
      <c r="D30" s="483">
        <f>IF(F29+SUM(E$17:E29)=D$10,F29,D$10-SUM(E$17:E29))</f>
        <v>667727</v>
      </c>
      <c r="E30" s="484">
        <f>IF(+I14&lt;F29,I14,D30)</f>
        <v>20787</v>
      </c>
      <c r="F30" s="485">
        <f t="shared" ref="F30:F48" si="17">+D30-E30</f>
        <v>646940</v>
      </c>
      <c r="G30" s="486">
        <f t="shared" ref="G30:G72" si="18">(D30+F30)/2*I$12+E30</f>
        <v>96417.383551538122</v>
      </c>
      <c r="H30" s="455">
        <f t="shared" ref="H30:H72" si="19">+(D30+F30)/2*I$13+E30</f>
        <v>96417.383551538122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6"/>
        <v/>
      </c>
      <c r="C31" s="472">
        <f>IF(D11="","-",+C30+1)</f>
        <v>2023</v>
      </c>
      <c r="D31" s="483">
        <f>IF(F30+SUM(E$17:E30)=D$10,F30,D$10-SUM(E$17:E30))</f>
        <v>646940</v>
      </c>
      <c r="E31" s="484">
        <f>IF(+I14&lt;F30,I14,D31)</f>
        <v>20787</v>
      </c>
      <c r="F31" s="485">
        <f t="shared" si="17"/>
        <v>626153</v>
      </c>
      <c r="G31" s="486">
        <f t="shared" si="18"/>
        <v>94025.707510554625</v>
      </c>
      <c r="H31" s="455">
        <f t="shared" si="19"/>
        <v>94025.707510554625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6"/>
        <v/>
      </c>
      <c r="C32" s="472">
        <f>IF(D11="","-",+C31+1)</f>
        <v>2024</v>
      </c>
      <c r="D32" s="483">
        <f>IF(F31+SUM(E$17:E31)=D$10,F31,D$10-SUM(E$17:E31))</f>
        <v>626153</v>
      </c>
      <c r="E32" s="484">
        <f>IF(+I14&lt;F31,I14,D32)</f>
        <v>20787</v>
      </c>
      <c r="F32" s="485">
        <f t="shared" si="17"/>
        <v>605366</v>
      </c>
      <c r="G32" s="486">
        <f t="shared" si="18"/>
        <v>91634.031469571128</v>
      </c>
      <c r="H32" s="455">
        <f t="shared" si="19"/>
        <v>91634.031469571128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6"/>
        <v/>
      </c>
      <c r="C33" s="472">
        <f>IF(D11="","-",+C32+1)</f>
        <v>2025</v>
      </c>
      <c r="D33" s="483">
        <f>IF(F32+SUM(E$17:E32)=D$10,F32,D$10-SUM(E$17:E32))</f>
        <v>605366</v>
      </c>
      <c r="E33" s="484">
        <f>IF(+I14&lt;F32,I14,D33)</f>
        <v>20787</v>
      </c>
      <c r="F33" s="485">
        <f t="shared" si="17"/>
        <v>584579</v>
      </c>
      <c r="G33" s="486">
        <f t="shared" si="18"/>
        <v>89242.355428587645</v>
      </c>
      <c r="H33" s="455">
        <f t="shared" si="19"/>
        <v>89242.355428587645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6"/>
        <v/>
      </c>
      <c r="C34" s="472">
        <f>IF(D11="","-",+C33+1)</f>
        <v>2026</v>
      </c>
      <c r="D34" s="483">
        <f>IF(F33+SUM(E$17:E33)=D$10,F33,D$10-SUM(E$17:E33))</f>
        <v>584579</v>
      </c>
      <c r="E34" s="484">
        <f>IF(+I14&lt;F33,I14,D34)</f>
        <v>20787</v>
      </c>
      <c r="F34" s="485">
        <f t="shared" si="17"/>
        <v>563792</v>
      </c>
      <c r="G34" s="486">
        <f t="shared" si="18"/>
        <v>86850.679387604148</v>
      </c>
      <c r="H34" s="455">
        <f t="shared" si="19"/>
        <v>86850.679387604148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6"/>
        <v/>
      </c>
      <c r="C35" s="472">
        <f>IF(D11="","-",+C34+1)</f>
        <v>2027</v>
      </c>
      <c r="D35" s="483">
        <f>IF(F34+SUM(E$17:E34)=D$10,F34,D$10-SUM(E$17:E34))</f>
        <v>563792</v>
      </c>
      <c r="E35" s="484">
        <f>IF(+I14&lt;F34,I14,D35)</f>
        <v>20787</v>
      </c>
      <c r="F35" s="485">
        <f t="shared" si="17"/>
        <v>543005</v>
      </c>
      <c r="G35" s="486">
        <f t="shared" si="18"/>
        <v>84459.003346620651</v>
      </c>
      <c r="H35" s="455">
        <f t="shared" si="19"/>
        <v>84459.003346620651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6"/>
        <v/>
      </c>
      <c r="C36" s="472">
        <f>IF(D11="","-",+C35+1)</f>
        <v>2028</v>
      </c>
      <c r="D36" s="483">
        <f>IF(F35+SUM(E$17:E35)=D$10,F35,D$10-SUM(E$17:E35))</f>
        <v>543005</v>
      </c>
      <c r="E36" s="484">
        <f>IF(+I14&lt;F35,I14,D36)</f>
        <v>20787</v>
      </c>
      <c r="F36" s="485">
        <f t="shared" si="17"/>
        <v>522218</v>
      </c>
      <c r="G36" s="486">
        <f t="shared" si="18"/>
        <v>82067.327305637154</v>
      </c>
      <c r="H36" s="455">
        <f t="shared" si="19"/>
        <v>82067.327305637154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6"/>
        <v/>
      </c>
      <c r="C37" s="472">
        <f>IF(D11="","-",+C36+1)</f>
        <v>2029</v>
      </c>
      <c r="D37" s="483">
        <f>IF(F36+SUM(E$17:E36)=D$10,F36,D$10-SUM(E$17:E36))</f>
        <v>522218</v>
      </c>
      <c r="E37" s="484">
        <f>IF(+I14&lt;F36,I14,D37)</f>
        <v>20787</v>
      </c>
      <c r="F37" s="485">
        <f t="shared" si="17"/>
        <v>501431</v>
      </c>
      <c r="G37" s="486">
        <f t="shared" si="18"/>
        <v>79675.651264653658</v>
      </c>
      <c r="H37" s="455">
        <f t="shared" si="19"/>
        <v>79675.651264653658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6"/>
        <v/>
      </c>
      <c r="C38" s="472">
        <f>IF(D11="","-",+C37+1)</f>
        <v>2030</v>
      </c>
      <c r="D38" s="483">
        <f>IF(F37+SUM(E$17:E37)=D$10,F37,D$10-SUM(E$17:E37))</f>
        <v>501431</v>
      </c>
      <c r="E38" s="484">
        <f>IF(+I14&lt;F37,I14,D38)</f>
        <v>20787</v>
      </c>
      <c r="F38" s="485">
        <f t="shared" si="17"/>
        <v>480644</v>
      </c>
      <c r="G38" s="486">
        <f t="shared" si="18"/>
        <v>77283.975223670175</v>
      </c>
      <c r="H38" s="455">
        <f t="shared" si="19"/>
        <v>77283.975223670175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6"/>
        <v/>
      </c>
      <c r="C39" s="472">
        <f>IF(D11="","-",+C38+1)</f>
        <v>2031</v>
      </c>
      <c r="D39" s="483">
        <f>IF(F38+SUM(E$17:E38)=D$10,F38,D$10-SUM(E$17:E38))</f>
        <v>480644</v>
      </c>
      <c r="E39" s="484">
        <f>IF(+I14&lt;F38,I14,D39)</f>
        <v>20787</v>
      </c>
      <c r="F39" s="485">
        <f t="shared" si="17"/>
        <v>459857</v>
      </c>
      <c r="G39" s="486">
        <f t="shared" si="18"/>
        <v>74892.299182686678</v>
      </c>
      <c r="H39" s="455">
        <f t="shared" si="19"/>
        <v>74892.299182686678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6"/>
        <v/>
      </c>
      <c r="C40" s="472">
        <f>IF(D11="","-",+C39+1)</f>
        <v>2032</v>
      </c>
      <c r="D40" s="483">
        <f>IF(F39+SUM(E$17:E39)=D$10,F39,D$10-SUM(E$17:E39))</f>
        <v>459857</v>
      </c>
      <c r="E40" s="484">
        <f>IF(+I14&lt;F39,I14,D40)</f>
        <v>20787</v>
      </c>
      <c r="F40" s="485">
        <f t="shared" si="17"/>
        <v>439070</v>
      </c>
      <c r="G40" s="486">
        <f t="shared" si="18"/>
        <v>72500.623141703196</v>
      </c>
      <c r="H40" s="455">
        <f t="shared" si="19"/>
        <v>72500.623141703196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6"/>
        <v/>
      </c>
      <c r="C41" s="472">
        <f>IF(D11="","-",+C40+1)</f>
        <v>2033</v>
      </c>
      <c r="D41" s="483">
        <f>IF(F40+SUM(E$17:E40)=D$10,F40,D$10-SUM(E$17:E40))</f>
        <v>439070</v>
      </c>
      <c r="E41" s="484">
        <f>IF(+I14&lt;F40,I14,D41)</f>
        <v>20787</v>
      </c>
      <c r="F41" s="485">
        <f t="shared" si="17"/>
        <v>418283</v>
      </c>
      <c r="G41" s="486">
        <f t="shared" si="18"/>
        <v>70108.947100719699</v>
      </c>
      <c r="H41" s="455">
        <f t="shared" si="19"/>
        <v>70108.947100719699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6"/>
        <v/>
      </c>
      <c r="C42" s="472">
        <f>IF(D11="","-",+C41+1)</f>
        <v>2034</v>
      </c>
      <c r="D42" s="483">
        <f>IF(F41+SUM(E$17:E41)=D$10,F41,D$10-SUM(E$17:E41))</f>
        <v>418283</v>
      </c>
      <c r="E42" s="484">
        <f>IF(+I14&lt;F41,I14,D42)</f>
        <v>20787</v>
      </c>
      <c r="F42" s="485">
        <f t="shared" si="17"/>
        <v>397496</v>
      </c>
      <c r="G42" s="486">
        <f t="shared" si="18"/>
        <v>67717.271059736202</v>
      </c>
      <c r="H42" s="455">
        <f t="shared" si="19"/>
        <v>67717.271059736202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6"/>
        <v/>
      </c>
      <c r="C43" s="472">
        <f>IF(D11="","-",+C42+1)</f>
        <v>2035</v>
      </c>
      <c r="D43" s="483">
        <f>IF(F42+SUM(E$17:E42)=D$10,F42,D$10-SUM(E$17:E42))</f>
        <v>397496</v>
      </c>
      <c r="E43" s="484">
        <f>IF(+I14&lt;F42,I14,D43)</f>
        <v>20787</v>
      </c>
      <c r="F43" s="485">
        <f t="shared" si="17"/>
        <v>376709</v>
      </c>
      <c r="G43" s="486">
        <f t="shared" si="18"/>
        <v>65325.595018752712</v>
      </c>
      <c r="H43" s="455">
        <f t="shared" si="19"/>
        <v>65325.595018752712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6"/>
        <v/>
      </c>
      <c r="C44" s="472">
        <f>IF(D11="","-",+C43+1)</f>
        <v>2036</v>
      </c>
      <c r="D44" s="483">
        <f>IF(F43+SUM(E$17:E43)=D$10,F43,D$10-SUM(E$17:E43))</f>
        <v>376709</v>
      </c>
      <c r="E44" s="484">
        <f>IF(+I14&lt;F43,I14,D44)</f>
        <v>20787</v>
      </c>
      <c r="F44" s="485">
        <f t="shared" si="17"/>
        <v>355922</v>
      </c>
      <c r="G44" s="486">
        <f t="shared" si="18"/>
        <v>62933.918977769215</v>
      </c>
      <c r="H44" s="455">
        <f t="shared" si="19"/>
        <v>62933.918977769215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6"/>
        <v/>
      </c>
      <c r="C45" s="472">
        <f>IF(D11="","-",+C44+1)</f>
        <v>2037</v>
      </c>
      <c r="D45" s="483">
        <f>IF(F44+SUM(E$17:E44)=D$10,F44,D$10-SUM(E$17:E44))</f>
        <v>355922</v>
      </c>
      <c r="E45" s="484">
        <f>IF(+I14&lt;F44,I14,D45)</f>
        <v>20787</v>
      </c>
      <c r="F45" s="485">
        <f t="shared" si="17"/>
        <v>335135</v>
      </c>
      <c r="G45" s="486">
        <f t="shared" si="18"/>
        <v>60542.242936785726</v>
      </c>
      <c r="H45" s="455">
        <f t="shared" si="19"/>
        <v>60542.242936785726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6"/>
        <v/>
      </c>
      <c r="C46" s="472">
        <f>IF(D11="","-",+C45+1)</f>
        <v>2038</v>
      </c>
      <c r="D46" s="483">
        <f>IF(F45+SUM(E$17:E45)=D$10,F45,D$10-SUM(E$17:E45))</f>
        <v>335135</v>
      </c>
      <c r="E46" s="484">
        <f>IF(+I14&lt;F45,I14,D46)</f>
        <v>20787</v>
      </c>
      <c r="F46" s="485">
        <f t="shared" si="17"/>
        <v>314348</v>
      </c>
      <c r="G46" s="486">
        <f t="shared" si="18"/>
        <v>58150.566895802229</v>
      </c>
      <c r="H46" s="455">
        <f t="shared" si="19"/>
        <v>58150.566895802229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6"/>
        <v/>
      </c>
      <c r="C47" s="472">
        <f>IF(D11="","-",+C46+1)</f>
        <v>2039</v>
      </c>
      <c r="D47" s="483">
        <f>IF(F46+SUM(E$17:E46)=D$10,F46,D$10-SUM(E$17:E46))</f>
        <v>314348</v>
      </c>
      <c r="E47" s="484">
        <f>IF(+I14&lt;F46,I14,D47)</f>
        <v>20787</v>
      </c>
      <c r="F47" s="485">
        <f t="shared" si="17"/>
        <v>293561</v>
      </c>
      <c r="G47" s="486">
        <f t="shared" si="18"/>
        <v>55758.890854818739</v>
      </c>
      <c r="H47" s="455">
        <f t="shared" si="19"/>
        <v>55758.890854818739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6"/>
        <v/>
      </c>
      <c r="C48" s="472">
        <f>IF(D11="","-",+C47+1)</f>
        <v>2040</v>
      </c>
      <c r="D48" s="483">
        <f>IF(F47+SUM(E$17:E47)=D$10,F47,D$10-SUM(E$17:E47))</f>
        <v>293561</v>
      </c>
      <c r="E48" s="484">
        <f>IF(+I14&lt;F47,I14,D48)</f>
        <v>20787</v>
      </c>
      <c r="F48" s="485">
        <f t="shared" si="17"/>
        <v>272774</v>
      </c>
      <c r="G48" s="486">
        <f t="shared" si="18"/>
        <v>53367.21481383525</v>
      </c>
      <c r="H48" s="455">
        <f t="shared" si="19"/>
        <v>53367.21481383525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6"/>
        <v/>
      </c>
      <c r="C49" s="472">
        <f>IF(D11="","-",+C48+1)</f>
        <v>2041</v>
      </c>
      <c r="D49" s="483">
        <f>IF(F48+SUM(E$17:E48)=D$10,F48,D$10-SUM(E$17:E48))</f>
        <v>272774</v>
      </c>
      <c r="E49" s="484">
        <f>IF(+I14&lt;F48,I14,D49)</f>
        <v>20787</v>
      </c>
      <c r="F49" s="485">
        <f t="shared" ref="F49:F72" si="20">+D49-E49</f>
        <v>251987</v>
      </c>
      <c r="G49" s="486">
        <f t="shared" si="18"/>
        <v>50975.538772851753</v>
      </c>
      <c r="H49" s="455">
        <f t="shared" si="19"/>
        <v>50975.538772851753</v>
      </c>
      <c r="I49" s="475">
        <f t="shared" ref="I49:I72" si="21">H49-G49</f>
        <v>0</v>
      </c>
      <c r="J49" s="475"/>
      <c r="K49" s="487"/>
      <c r="L49" s="478">
        <f t="shared" ref="L49:L72" si="22">IF(K49&lt;&gt;0,+G49-K49,0)</f>
        <v>0</v>
      </c>
      <c r="M49" s="487"/>
      <c r="N49" s="478">
        <f t="shared" ref="N49:N72" si="23">IF(M49&lt;&gt;0,+H49-M49,0)</f>
        <v>0</v>
      </c>
      <c r="O49" s="478">
        <f t="shared" ref="O49:O72" si="24">+N49-L49</f>
        <v>0</v>
      </c>
      <c r="P49" s="243"/>
    </row>
    <row r="50" spans="2:16">
      <c r="B50" s="160" t="str">
        <f t="shared" si="6"/>
        <v/>
      </c>
      <c r="C50" s="472">
        <f>IF(D11="","-",+C49+1)</f>
        <v>2042</v>
      </c>
      <c r="D50" s="483">
        <f>IF(F49+SUM(E$17:E49)=D$10,F49,D$10-SUM(E$17:E49))</f>
        <v>251987</v>
      </c>
      <c r="E50" s="484">
        <f>IF(+I14&lt;F49,I14,D50)</f>
        <v>20787</v>
      </c>
      <c r="F50" s="485">
        <f t="shared" si="20"/>
        <v>231200</v>
      </c>
      <c r="G50" s="486">
        <f t="shared" si="18"/>
        <v>48583.862731868256</v>
      </c>
      <c r="H50" s="455">
        <f t="shared" si="19"/>
        <v>48583.862731868256</v>
      </c>
      <c r="I50" s="475">
        <f t="shared" si="21"/>
        <v>0</v>
      </c>
      <c r="J50" s="475"/>
      <c r="K50" s="487"/>
      <c r="L50" s="478">
        <f t="shared" si="22"/>
        <v>0</v>
      </c>
      <c r="M50" s="487"/>
      <c r="N50" s="478">
        <f t="shared" si="23"/>
        <v>0</v>
      </c>
      <c r="O50" s="478">
        <f t="shared" si="24"/>
        <v>0</v>
      </c>
      <c r="P50" s="243"/>
    </row>
    <row r="51" spans="2:16">
      <c r="B51" s="160" t="str">
        <f t="shared" si="6"/>
        <v/>
      </c>
      <c r="C51" s="472">
        <f>IF(D11="","-",+C50+1)</f>
        <v>2043</v>
      </c>
      <c r="D51" s="483">
        <f>IF(F50+SUM(E$17:E50)=D$10,F50,D$10-SUM(E$17:E50))</f>
        <v>231200</v>
      </c>
      <c r="E51" s="484">
        <f>IF(+I14&lt;F50,I14,D51)</f>
        <v>20787</v>
      </c>
      <c r="F51" s="485">
        <f t="shared" si="20"/>
        <v>210413</v>
      </c>
      <c r="G51" s="486">
        <f t="shared" si="18"/>
        <v>46192.186690884766</v>
      </c>
      <c r="H51" s="455">
        <f t="shared" si="19"/>
        <v>46192.186690884766</v>
      </c>
      <c r="I51" s="475">
        <f t="shared" si="21"/>
        <v>0</v>
      </c>
      <c r="J51" s="475"/>
      <c r="K51" s="487"/>
      <c r="L51" s="478">
        <f t="shared" si="22"/>
        <v>0</v>
      </c>
      <c r="M51" s="487"/>
      <c r="N51" s="478">
        <f t="shared" si="23"/>
        <v>0</v>
      </c>
      <c r="O51" s="478">
        <f t="shared" si="24"/>
        <v>0</v>
      </c>
      <c r="P51" s="243"/>
    </row>
    <row r="52" spans="2:16">
      <c r="B52" s="160" t="str">
        <f t="shared" si="6"/>
        <v/>
      </c>
      <c r="C52" s="472">
        <f>IF(D11="","-",+C51+1)</f>
        <v>2044</v>
      </c>
      <c r="D52" s="483">
        <f>IF(F51+SUM(E$17:E51)=D$10,F51,D$10-SUM(E$17:E51))</f>
        <v>210413</v>
      </c>
      <c r="E52" s="484">
        <f>IF(+I14&lt;F51,I14,D52)</f>
        <v>20787</v>
      </c>
      <c r="F52" s="485">
        <f t="shared" si="20"/>
        <v>189626</v>
      </c>
      <c r="G52" s="486">
        <f t="shared" si="18"/>
        <v>43800.510649901276</v>
      </c>
      <c r="H52" s="455">
        <f t="shared" si="19"/>
        <v>43800.510649901276</v>
      </c>
      <c r="I52" s="475">
        <f t="shared" si="21"/>
        <v>0</v>
      </c>
      <c r="J52" s="475"/>
      <c r="K52" s="487"/>
      <c r="L52" s="478">
        <f t="shared" si="22"/>
        <v>0</v>
      </c>
      <c r="M52" s="487"/>
      <c r="N52" s="478">
        <f t="shared" si="23"/>
        <v>0</v>
      </c>
      <c r="O52" s="478">
        <f t="shared" si="24"/>
        <v>0</v>
      </c>
      <c r="P52" s="243"/>
    </row>
    <row r="53" spans="2:16">
      <c r="B53" s="160" t="str">
        <f t="shared" si="6"/>
        <v/>
      </c>
      <c r="C53" s="472">
        <f>IF(D11="","-",+C52+1)</f>
        <v>2045</v>
      </c>
      <c r="D53" s="483">
        <f>IF(F52+SUM(E$17:E52)=D$10,F52,D$10-SUM(E$17:E52))</f>
        <v>189626</v>
      </c>
      <c r="E53" s="484">
        <f>IF(+I14&lt;F52,I14,D53)</f>
        <v>20787</v>
      </c>
      <c r="F53" s="485">
        <f t="shared" si="20"/>
        <v>168839</v>
      </c>
      <c r="G53" s="486">
        <f t="shared" si="18"/>
        <v>41408.834608917779</v>
      </c>
      <c r="H53" s="455">
        <f t="shared" si="19"/>
        <v>41408.834608917779</v>
      </c>
      <c r="I53" s="475">
        <f t="shared" si="21"/>
        <v>0</v>
      </c>
      <c r="J53" s="475"/>
      <c r="K53" s="487"/>
      <c r="L53" s="478">
        <f t="shared" si="22"/>
        <v>0</v>
      </c>
      <c r="M53" s="487"/>
      <c r="N53" s="478">
        <f t="shared" si="23"/>
        <v>0</v>
      </c>
      <c r="O53" s="478">
        <f t="shared" si="24"/>
        <v>0</v>
      </c>
      <c r="P53" s="243"/>
    </row>
    <row r="54" spans="2:16">
      <c r="B54" s="160" t="str">
        <f t="shared" si="6"/>
        <v/>
      </c>
      <c r="C54" s="472">
        <f>IF(D11="","-",+C53+1)</f>
        <v>2046</v>
      </c>
      <c r="D54" s="483">
        <f>IF(F53+SUM(E$17:E53)=D$10,F53,D$10-SUM(E$17:E53))</f>
        <v>168839</v>
      </c>
      <c r="E54" s="484">
        <f>IF(+I14&lt;F53,I14,D54)</f>
        <v>20787</v>
      </c>
      <c r="F54" s="485">
        <f t="shared" si="20"/>
        <v>148052</v>
      </c>
      <c r="G54" s="486">
        <f t="shared" si="18"/>
        <v>39017.158567934282</v>
      </c>
      <c r="H54" s="455">
        <f t="shared" si="19"/>
        <v>39017.158567934282</v>
      </c>
      <c r="I54" s="475">
        <f t="shared" si="21"/>
        <v>0</v>
      </c>
      <c r="J54" s="475"/>
      <c r="K54" s="487"/>
      <c r="L54" s="478">
        <f t="shared" si="22"/>
        <v>0</v>
      </c>
      <c r="M54" s="487"/>
      <c r="N54" s="478">
        <f t="shared" si="23"/>
        <v>0</v>
      </c>
      <c r="O54" s="478">
        <f t="shared" si="24"/>
        <v>0</v>
      </c>
      <c r="P54" s="243"/>
    </row>
    <row r="55" spans="2:16">
      <c r="B55" s="160" t="str">
        <f t="shared" si="6"/>
        <v/>
      </c>
      <c r="C55" s="472">
        <f>IF(D11="","-",+C54+1)</f>
        <v>2047</v>
      </c>
      <c r="D55" s="483">
        <f>IF(F54+SUM(E$17:E54)=D$10,F54,D$10-SUM(E$17:E54))</f>
        <v>148052</v>
      </c>
      <c r="E55" s="484">
        <f>IF(+I14&lt;F54,I14,D55)</f>
        <v>20787</v>
      </c>
      <c r="F55" s="485">
        <f t="shared" si="20"/>
        <v>127265</v>
      </c>
      <c r="G55" s="486">
        <f t="shared" si="18"/>
        <v>36625.482526950793</v>
      </c>
      <c r="H55" s="455">
        <f t="shared" si="19"/>
        <v>36625.482526950793</v>
      </c>
      <c r="I55" s="475">
        <f t="shared" si="21"/>
        <v>0</v>
      </c>
      <c r="J55" s="475"/>
      <c r="K55" s="487"/>
      <c r="L55" s="478">
        <f t="shared" si="22"/>
        <v>0</v>
      </c>
      <c r="M55" s="487"/>
      <c r="N55" s="478">
        <f t="shared" si="23"/>
        <v>0</v>
      </c>
      <c r="O55" s="478">
        <f t="shared" si="24"/>
        <v>0</v>
      </c>
      <c r="P55" s="243"/>
    </row>
    <row r="56" spans="2:16">
      <c r="B56" s="160" t="str">
        <f t="shared" si="6"/>
        <v/>
      </c>
      <c r="C56" s="472">
        <f>IF(D11="","-",+C55+1)</f>
        <v>2048</v>
      </c>
      <c r="D56" s="483">
        <f>IF(F55+SUM(E$17:E55)=D$10,F55,D$10-SUM(E$17:E55))</f>
        <v>127265</v>
      </c>
      <c r="E56" s="484">
        <f>IF(+I14&lt;F55,I14,D56)</f>
        <v>20787</v>
      </c>
      <c r="F56" s="485">
        <f t="shared" si="20"/>
        <v>106478</v>
      </c>
      <c r="G56" s="486">
        <f t="shared" si="18"/>
        <v>34233.806485967303</v>
      </c>
      <c r="H56" s="455">
        <f t="shared" si="19"/>
        <v>34233.806485967303</v>
      </c>
      <c r="I56" s="475">
        <f t="shared" si="21"/>
        <v>0</v>
      </c>
      <c r="J56" s="475"/>
      <c r="K56" s="487"/>
      <c r="L56" s="478">
        <f t="shared" si="22"/>
        <v>0</v>
      </c>
      <c r="M56" s="487"/>
      <c r="N56" s="478">
        <f t="shared" si="23"/>
        <v>0</v>
      </c>
      <c r="O56" s="478">
        <f t="shared" si="24"/>
        <v>0</v>
      </c>
      <c r="P56" s="243"/>
    </row>
    <row r="57" spans="2:16">
      <c r="B57" s="160" t="str">
        <f t="shared" si="6"/>
        <v/>
      </c>
      <c r="C57" s="472">
        <f>IF(D11="","-",+C56+1)</f>
        <v>2049</v>
      </c>
      <c r="D57" s="483">
        <f>IF(F56+SUM(E$17:E56)=D$10,F56,D$10-SUM(E$17:E56))</f>
        <v>106478</v>
      </c>
      <c r="E57" s="484">
        <f>IF(+I14&lt;F56,I14,D57)</f>
        <v>20787</v>
      </c>
      <c r="F57" s="485">
        <f t="shared" si="20"/>
        <v>85691</v>
      </c>
      <c r="G57" s="486">
        <f t="shared" si="18"/>
        <v>31842.130444983806</v>
      </c>
      <c r="H57" s="455">
        <f t="shared" si="19"/>
        <v>31842.130444983806</v>
      </c>
      <c r="I57" s="475">
        <f t="shared" si="21"/>
        <v>0</v>
      </c>
      <c r="J57" s="475"/>
      <c r="K57" s="487"/>
      <c r="L57" s="478">
        <f t="shared" si="22"/>
        <v>0</v>
      </c>
      <c r="M57" s="487"/>
      <c r="N57" s="478">
        <f t="shared" si="23"/>
        <v>0</v>
      </c>
      <c r="O57" s="478">
        <f t="shared" si="24"/>
        <v>0</v>
      </c>
      <c r="P57" s="243"/>
    </row>
    <row r="58" spans="2:16">
      <c r="B58" s="160" t="str">
        <f t="shared" si="6"/>
        <v/>
      </c>
      <c r="C58" s="472">
        <f>IF(D11="","-",+C57+1)</f>
        <v>2050</v>
      </c>
      <c r="D58" s="483">
        <f>IF(F57+SUM(E$17:E57)=D$10,F57,D$10-SUM(E$17:E57))</f>
        <v>85691</v>
      </c>
      <c r="E58" s="484">
        <f>IF(+I14&lt;F57,I14,D58)</f>
        <v>20787</v>
      </c>
      <c r="F58" s="485">
        <f t="shared" si="20"/>
        <v>64904</v>
      </c>
      <c r="G58" s="486">
        <f t="shared" si="18"/>
        <v>29450.454404000317</v>
      </c>
      <c r="H58" s="455">
        <f t="shared" si="19"/>
        <v>29450.454404000317</v>
      </c>
      <c r="I58" s="475">
        <f t="shared" si="21"/>
        <v>0</v>
      </c>
      <c r="J58" s="475"/>
      <c r="K58" s="487"/>
      <c r="L58" s="478">
        <f t="shared" si="22"/>
        <v>0</v>
      </c>
      <c r="M58" s="487"/>
      <c r="N58" s="478">
        <f t="shared" si="23"/>
        <v>0</v>
      </c>
      <c r="O58" s="478">
        <f t="shared" si="24"/>
        <v>0</v>
      </c>
      <c r="P58" s="243"/>
    </row>
    <row r="59" spans="2:16">
      <c r="B59" s="160" t="str">
        <f t="shared" si="6"/>
        <v/>
      </c>
      <c r="C59" s="472">
        <f>IF(D11="","-",+C58+1)</f>
        <v>2051</v>
      </c>
      <c r="D59" s="483">
        <f>IF(F58+SUM(E$17:E58)=D$10,F58,D$10-SUM(E$17:E58))</f>
        <v>64904</v>
      </c>
      <c r="E59" s="484">
        <f>IF(+I14&lt;F58,I14,D59)</f>
        <v>20787</v>
      </c>
      <c r="F59" s="485">
        <f t="shared" si="20"/>
        <v>44117</v>
      </c>
      <c r="G59" s="486">
        <f t="shared" si="18"/>
        <v>27058.778363016823</v>
      </c>
      <c r="H59" s="455">
        <f t="shared" si="19"/>
        <v>27058.778363016823</v>
      </c>
      <c r="I59" s="475">
        <f t="shared" si="21"/>
        <v>0</v>
      </c>
      <c r="J59" s="475"/>
      <c r="K59" s="487"/>
      <c r="L59" s="478">
        <f t="shared" si="22"/>
        <v>0</v>
      </c>
      <c r="M59" s="487"/>
      <c r="N59" s="478">
        <f t="shared" si="23"/>
        <v>0</v>
      </c>
      <c r="O59" s="478">
        <f t="shared" si="24"/>
        <v>0</v>
      </c>
      <c r="P59" s="243"/>
    </row>
    <row r="60" spans="2:16">
      <c r="B60" s="160" t="str">
        <f t="shared" si="6"/>
        <v/>
      </c>
      <c r="C60" s="472">
        <f>IF(D11="","-",+C59+1)</f>
        <v>2052</v>
      </c>
      <c r="D60" s="483">
        <f>IF(F59+SUM(E$17:E59)=D$10,F59,D$10-SUM(E$17:E59))</f>
        <v>44117</v>
      </c>
      <c r="E60" s="484">
        <f>IF(+I14&lt;F59,I14,D60)</f>
        <v>20787</v>
      </c>
      <c r="F60" s="485">
        <f t="shared" si="20"/>
        <v>23330</v>
      </c>
      <c r="G60" s="486">
        <f t="shared" si="18"/>
        <v>24667.10232203333</v>
      </c>
      <c r="H60" s="455">
        <f t="shared" si="19"/>
        <v>24667.10232203333</v>
      </c>
      <c r="I60" s="475">
        <f t="shared" si="21"/>
        <v>0</v>
      </c>
      <c r="J60" s="475"/>
      <c r="K60" s="487"/>
      <c r="L60" s="478">
        <f t="shared" si="22"/>
        <v>0</v>
      </c>
      <c r="M60" s="487"/>
      <c r="N60" s="478">
        <f t="shared" si="23"/>
        <v>0</v>
      </c>
      <c r="O60" s="478">
        <f t="shared" si="24"/>
        <v>0</v>
      </c>
      <c r="P60" s="243"/>
    </row>
    <row r="61" spans="2:16">
      <c r="B61" s="160" t="str">
        <f t="shared" si="6"/>
        <v/>
      </c>
      <c r="C61" s="472">
        <f>IF(D11="","-",+C60+1)</f>
        <v>2053</v>
      </c>
      <c r="D61" s="483">
        <f>IF(F60+SUM(E$17:E60)=D$10,F60,D$10-SUM(E$17:E60))</f>
        <v>23330</v>
      </c>
      <c r="E61" s="484">
        <f>IF(+I14&lt;F60,I14,D61)</f>
        <v>20787</v>
      </c>
      <c r="F61" s="485">
        <f t="shared" si="20"/>
        <v>2543</v>
      </c>
      <c r="G61" s="486">
        <f t="shared" si="18"/>
        <v>22275.426281049837</v>
      </c>
      <c r="H61" s="455">
        <f t="shared" si="19"/>
        <v>22275.426281049837</v>
      </c>
      <c r="I61" s="475">
        <f t="shared" si="21"/>
        <v>0</v>
      </c>
      <c r="J61" s="475"/>
      <c r="K61" s="487"/>
      <c r="L61" s="478">
        <f t="shared" si="22"/>
        <v>0</v>
      </c>
      <c r="M61" s="487"/>
      <c r="N61" s="478">
        <f t="shared" si="23"/>
        <v>0</v>
      </c>
      <c r="O61" s="478">
        <f t="shared" si="24"/>
        <v>0</v>
      </c>
      <c r="P61" s="243"/>
    </row>
    <row r="62" spans="2:16">
      <c r="B62" s="160" t="str">
        <f t="shared" si="6"/>
        <v/>
      </c>
      <c r="C62" s="472">
        <f>IF(D11="","-",+C61+1)</f>
        <v>2054</v>
      </c>
      <c r="D62" s="483">
        <f>IF(F61+SUM(E$17:E61)=D$10,F61,D$10-SUM(E$17:E61))</f>
        <v>2543</v>
      </c>
      <c r="E62" s="484">
        <f>IF(+I14&lt;F61,I14,D62)</f>
        <v>2543</v>
      </c>
      <c r="F62" s="485">
        <f t="shared" si="20"/>
        <v>0</v>
      </c>
      <c r="G62" s="486">
        <f t="shared" si="18"/>
        <v>2689.294130279045</v>
      </c>
      <c r="H62" s="455">
        <f t="shared" si="19"/>
        <v>2689.294130279045</v>
      </c>
      <c r="I62" s="475">
        <f t="shared" si="21"/>
        <v>0</v>
      </c>
      <c r="J62" s="475"/>
      <c r="K62" s="487"/>
      <c r="L62" s="478">
        <f t="shared" si="22"/>
        <v>0</v>
      </c>
      <c r="M62" s="487"/>
      <c r="N62" s="478">
        <f t="shared" si="23"/>
        <v>0</v>
      </c>
      <c r="O62" s="478">
        <f t="shared" si="24"/>
        <v>0</v>
      </c>
      <c r="P62" s="243"/>
    </row>
    <row r="63" spans="2:16">
      <c r="B63" s="160" t="str">
        <f t="shared" si="6"/>
        <v/>
      </c>
      <c r="C63" s="472">
        <f>IF(D11="","-",+C62+1)</f>
        <v>2055</v>
      </c>
      <c r="D63" s="483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6">
        <f t="shared" si="18"/>
        <v>0</v>
      </c>
      <c r="H63" s="455">
        <f t="shared" si="19"/>
        <v>0</v>
      </c>
      <c r="I63" s="475">
        <f t="shared" si="21"/>
        <v>0</v>
      </c>
      <c r="J63" s="475"/>
      <c r="K63" s="487"/>
      <c r="L63" s="478">
        <f t="shared" si="22"/>
        <v>0</v>
      </c>
      <c r="M63" s="487"/>
      <c r="N63" s="478">
        <f t="shared" si="23"/>
        <v>0</v>
      </c>
      <c r="O63" s="478">
        <f t="shared" si="24"/>
        <v>0</v>
      </c>
      <c r="P63" s="243"/>
    </row>
    <row r="64" spans="2:16">
      <c r="B64" s="160" t="str">
        <f t="shared" si="6"/>
        <v/>
      </c>
      <c r="C64" s="472">
        <f>IF(D11="","-",+C63+1)</f>
        <v>2056</v>
      </c>
      <c r="D64" s="483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6">
        <f t="shared" si="18"/>
        <v>0</v>
      </c>
      <c r="H64" s="455">
        <f t="shared" si="19"/>
        <v>0</v>
      </c>
      <c r="I64" s="475">
        <f t="shared" si="21"/>
        <v>0</v>
      </c>
      <c r="J64" s="475"/>
      <c r="K64" s="487"/>
      <c r="L64" s="478">
        <f t="shared" si="22"/>
        <v>0</v>
      </c>
      <c r="M64" s="487"/>
      <c r="N64" s="478">
        <f t="shared" si="23"/>
        <v>0</v>
      </c>
      <c r="O64" s="478">
        <f t="shared" si="24"/>
        <v>0</v>
      </c>
      <c r="P64" s="243"/>
    </row>
    <row r="65" spans="1:16">
      <c r="B65" s="160" t="str">
        <f t="shared" si="6"/>
        <v/>
      </c>
      <c r="C65" s="472">
        <f>IF(D11="","-",+C64+1)</f>
        <v>2057</v>
      </c>
      <c r="D65" s="483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6">
        <f t="shared" si="18"/>
        <v>0</v>
      </c>
      <c r="H65" s="455">
        <f t="shared" si="19"/>
        <v>0</v>
      </c>
      <c r="I65" s="475">
        <f t="shared" si="21"/>
        <v>0</v>
      </c>
      <c r="J65" s="475"/>
      <c r="K65" s="487"/>
      <c r="L65" s="478">
        <f t="shared" si="22"/>
        <v>0</v>
      </c>
      <c r="M65" s="487"/>
      <c r="N65" s="478">
        <f t="shared" si="23"/>
        <v>0</v>
      </c>
      <c r="O65" s="478">
        <f t="shared" si="24"/>
        <v>0</v>
      </c>
      <c r="P65" s="243"/>
    </row>
    <row r="66" spans="1:16">
      <c r="B66" s="160" t="str">
        <f t="shared" si="6"/>
        <v/>
      </c>
      <c r="C66" s="472">
        <f>IF(D11="","-",+C65+1)</f>
        <v>2058</v>
      </c>
      <c r="D66" s="483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6">
        <f t="shared" si="18"/>
        <v>0</v>
      </c>
      <c r="H66" s="455">
        <f t="shared" si="19"/>
        <v>0</v>
      </c>
      <c r="I66" s="475">
        <f t="shared" si="21"/>
        <v>0</v>
      </c>
      <c r="J66" s="475"/>
      <c r="K66" s="487"/>
      <c r="L66" s="478">
        <f t="shared" si="22"/>
        <v>0</v>
      </c>
      <c r="M66" s="487"/>
      <c r="N66" s="478">
        <f t="shared" si="23"/>
        <v>0</v>
      </c>
      <c r="O66" s="478">
        <f t="shared" si="24"/>
        <v>0</v>
      </c>
      <c r="P66" s="243"/>
    </row>
    <row r="67" spans="1:16">
      <c r="B67" s="160" t="str">
        <f t="shared" si="6"/>
        <v/>
      </c>
      <c r="C67" s="472">
        <f>IF(D11="","-",+C66+1)</f>
        <v>2059</v>
      </c>
      <c r="D67" s="483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6">
        <f t="shared" si="18"/>
        <v>0</v>
      </c>
      <c r="H67" s="455">
        <f t="shared" si="19"/>
        <v>0</v>
      </c>
      <c r="I67" s="475">
        <f t="shared" si="21"/>
        <v>0</v>
      </c>
      <c r="J67" s="475"/>
      <c r="K67" s="487"/>
      <c r="L67" s="478">
        <f t="shared" si="22"/>
        <v>0</v>
      </c>
      <c r="M67" s="487"/>
      <c r="N67" s="478">
        <f t="shared" si="23"/>
        <v>0</v>
      </c>
      <c r="O67" s="478">
        <f t="shared" si="24"/>
        <v>0</v>
      </c>
      <c r="P67" s="243"/>
    </row>
    <row r="68" spans="1:16">
      <c r="B68" s="160" t="str">
        <f t="shared" si="6"/>
        <v/>
      </c>
      <c r="C68" s="472">
        <f>IF(D11="","-",+C67+1)</f>
        <v>2060</v>
      </c>
      <c r="D68" s="483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6">
        <f t="shared" si="18"/>
        <v>0</v>
      </c>
      <c r="H68" s="455">
        <f t="shared" si="19"/>
        <v>0</v>
      </c>
      <c r="I68" s="475">
        <f t="shared" si="21"/>
        <v>0</v>
      </c>
      <c r="J68" s="475"/>
      <c r="K68" s="487"/>
      <c r="L68" s="478">
        <f t="shared" si="22"/>
        <v>0</v>
      </c>
      <c r="M68" s="487"/>
      <c r="N68" s="478">
        <f t="shared" si="23"/>
        <v>0</v>
      </c>
      <c r="O68" s="478">
        <f t="shared" si="24"/>
        <v>0</v>
      </c>
      <c r="P68" s="243"/>
    </row>
    <row r="69" spans="1:16">
      <c r="B69" s="160" t="str">
        <f t="shared" si="6"/>
        <v/>
      </c>
      <c r="C69" s="472">
        <f>IF(D11="","-",+C68+1)</f>
        <v>2061</v>
      </c>
      <c r="D69" s="483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6">
        <f t="shared" si="18"/>
        <v>0</v>
      </c>
      <c r="H69" s="455">
        <f t="shared" si="19"/>
        <v>0</v>
      </c>
      <c r="I69" s="475">
        <f t="shared" si="21"/>
        <v>0</v>
      </c>
      <c r="J69" s="475"/>
      <c r="K69" s="487"/>
      <c r="L69" s="478">
        <f t="shared" si="22"/>
        <v>0</v>
      </c>
      <c r="M69" s="487"/>
      <c r="N69" s="478">
        <f t="shared" si="23"/>
        <v>0</v>
      </c>
      <c r="O69" s="478">
        <f t="shared" si="24"/>
        <v>0</v>
      </c>
      <c r="P69" s="243"/>
    </row>
    <row r="70" spans="1:16">
      <c r="B70" s="160" t="str">
        <f t="shared" si="6"/>
        <v/>
      </c>
      <c r="C70" s="472">
        <f>IF(D11="","-",+C69+1)</f>
        <v>2062</v>
      </c>
      <c r="D70" s="483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6">
        <f t="shared" si="18"/>
        <v>0</v>
      </c>
      <c r="H70" s="455">
        <f t="shared" si="19"/>
        <v>0</v>
      </c>
      <c r="I70" s="475">
        <f t="shared" si="21"/>
        <v>0</v>
      </c>
      <c r="J70" s="475"/>
      <c r="K70" s="487"/>
      <c r="L70" s="478">
        <f t="shared" si="22"/>
        <v>0</v>
      </c>
      <c r="M70" s="487"/>
      <c r="N70" s="478">
        <f t="shared" si="23"/>
        <v>0</v>
      </c>
      <c r="O70" s="478">
        <f t="shared" si="24"/>
        <v>0</v>
      </c>
      <c r="P70" s="243"/>
    </row>
    <row r="71" spans="1:16">
      <c r="B71" s="160" t="str">
        <f t="shared" si="6"/>
        <v/>
      </c>
      <c r="C71" s="472">
        <f>IF(D11="","-",+C70+1)</f>
        <v>2063</v>
      </c>
      <c r="D71" s="483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6">
        <f t="shared" si="18"/>
        <v>0</v>
      </c>
      <c r="H71" s="455">
        <f t="shared" si="19"/>
        <v>0</v>
      </c>
      <c r="I71" s="475">
        <f t="shared" si="21"/>
        <v>0</v>
      </c>
      <c r="J71" s="475"/>
      <c r="K71" s="487"/>
      <c r="L71" s="478">
        <f t="shared" si="22"/>
        <v>0</v>
      </c>
      <c r="M71" s="487"/>
      <c r="N71" s="478">
        <f t="shared" si="23"/>
        <v>0</v>
      </c>
      <c r="O71" s="478">
        <f t="shared" si="24"/>
        <v>0</v>
      </c>
      <c r="P71" s="243"/>
    </row>
    <row r="72" spans="1:16" ht="13.5" thickBot="1">
      <c r="B72" s="160" t="str">
        <f t="shared" si="6"/>
        <v/>
      </c>
      <c r="C72" s="489">
        <f>IF(D11="","-",+C71+1)</f>
        <v>2064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0">
        <f t="shared" si="18"/>
        <v>0</v>
      </c>
      <c r="H72" s="490">
        <f t="shared" si="19"/>
        <v>0</v>
      </c>
      <c r="I72" s="493">
        <f t="shared" si="21"/>
        <v>0</v>
      </c>
      <c r="J72" s="475"/>
      <c r="K72" s="494"/>
      <c r="L72" s="495">
        <f t="shared" si="22"/>
        <v>0</v>
      </c>
      <c r="M72" s="494"/>
      <c r="N72" s="495">
        <f t="shared" si="23"/>
        <v>0</v>
      </c>
      <c r="O72" s="495">
        <f t="shared" si="24"/>
        <v>0</v>
      </c>
      <c r="P72" s="243"/>
    </row>
    <row r="73" spans="1:16">
      <c r="C73" s="347" t="s">
        <v>77</v>
      </c>
      <c r="D73" s="348"/>
      <c r="E73" s="348">
        <f>SUM(E17:E72)</f>
        <v>893858</v>
      </c>
      <c r="F73" s="348"/>
      <c r="G73" s="348">
        <f>SUM(G17:G72)</f>
        <v>3429946.1224481235</v>
      </c>
      <c r="H73" s="348">
        <f>SUM(H17:H72)</f>
        <v>3429946.1224481235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1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1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1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1:16" ht="18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497"/>
      <c r="P77" s="243"/>
    </row>
    <row r="78" spans="1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1:16" ht="15">
      <c r="A79" s="498"/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</row>
    <row r="80" spans="1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499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1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92514.814817027102</v>
      </c>
      <c r="N87" s="508">
        <f>IF(J92&lt;D11,0,VLOOKUP(J92,C17:O72,11))</f>
        <v>92514.814817027102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97958.021560633977</v>
      </c>
      <c r="N88" s="512">
        <f>IF(J92&lt;D11,0,VLOOKUP(J92,C99:P154,7))</f>
        <v>97958.021560633977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Riverside-Glenpool (81-523) Reconductor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5443.2067436068755</v>
      </c>
      <c r="N89" s="517">
        <f>+N88-N87</f>
        <v>5443.2067436068755</v>
      </c>
      <c r="O89" s="518">
        <f>+O88-O87</f>
        <v>0</v>
      </c>
      <c r="P89" s="233"/>
    </row>
    <row r="90" spans="1:16" ht="13.5" thickBot="1">
      <c r="C90" s="496"/>
      <c r="D90" s="519" t="str">
        <f>D8</f>
        <v/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TP2006087</v>
      </c>
      <c r="E91" s="522"/>
      <c r="F91" s="522"/>
      <c r="G91" s="522"/>
      <c r="H91" s="522"/>
      <c r="I91" s="522"/>
      <c r="J91" s="523"/>
      <c r="K91" s="524"/>
      <c r="P91" s="445"/>
    </row>
    <row r="92" spans="1:16">
      <c r="C92" s="446" t="s">
        <v>226</v>
      </c>
      <c r="D92" s="447">
        <v>893858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21801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2009</v>
      </c>
      <c r="D99" s="473">
        <v>0</v>
      </c>
      <c r="E99" s="480">
        <v>7981</v>
      </c>
      <c r="F99" s="479">
        <v>885877</v>
      </c>
      <c r="G99" s="537">
        <v>442938.5</v>
      </c>
      <c r="H99" s="538">
        <v>72742</v>
      </c>
      <c r="I99" s="539">
        <v>72742</v>
      </c>
      <c r="J99" s="478">
        <f t="shared" ref="J99:J130" si="25">+I99-H99</f>
        <v>0</v>
      </c>
      <c r="K99" s="478"/>
      <c r="L99" s="476">
        <f t="shared" ref="L99:L104" si="26">H99</f>
        <v>72742</v>
      </c>
      <c r="M99" s="477">
        <f t="shared" ref="M99:M130" si="27">IF(L99&lt;&gt;0,+H99-L99,0)</f>
        <v>0</v>
      </c>
      <c r="N99" s="476">
        <f t="shared" ref="N99:N104" si="28">I99</f>
        <v>72742</v>
      </c>
      <c r="O99" s="477">
        <f t="shared" ref="O99:O130" si="29">IF(N99&lt;&gt;0,+I99-N99,0)</f>
        <v>0</v>
      </c>
      <c r="P99" s="477">
        <f t="shared" ref="P99:P130" si="30">+O99-M99</f>
        <v>0</v>
      </c>
    </row>
    <row r="100" spans="1:16">
      <c r="B100" s="160" t="str">
        <f>IF(D100=F99,"","IU")</f>
        <v/>
      </c>
      <c r="C100" s="472">
        <f>IF(D93="","-",+C99+1)</f>
        <v>2010</v>
      </c>
      <c r="D100" s="473">
        <v>885877</v>
      </c>
      <c r="E100" s="480">
        <v>17527</v>
      </c>
      <c r="F100" s="479">
        <v>868350</v>
      </c>
      <c r="G100" s="479">
        <v>877113.5</v>
      </c>
      <c r="H100" s="538">
        <v>158580.20000000001</v>
      </c>
      <c r="I100" s="539">
        <v>158580.20000000001</v>
      </c>
      <c r="J100" s="478">
        <f t="shared" si="25"/>
        <v>0</v>
      </c>
      <c r="K100" s="478"/>
      <c r="L100" s="476">
        <f t="shared" si="26"/>
        <v>158580.20000000001</v>
      </c>
      <c r="M100" s="478">
        <f t="shared" si="27"/>
        <v>0</v>
      </c>
      <c r="N100" s="476">
        <f t="shared" si="28"/>
        <v>158580.20000000001</v>
      </c>
      <c r="O100" s="478">
        <f t="shared" si="29"/>
        <v>0</v>
      </c>
      <c r="P100" s="478">
        <f t="shared" si="30"/>
        <v>0</v>
      </c>
    </row>
    <row r="101" spans="1:16">
      <c r="B101" s="160" t="str">
        <f t="shared" ref="B101:B154" si="31">IF(D101=F100,"","IU")</f>
        <v/>
      </c>
      <c r="C101" s="482">
        <f>IF(D93="","-",+C100+1)</f>
        <v>2011</v>
      </c>
      <c r="D101" s="473">
        <v>868350</v>
      </c>
      <c r="E101" s="480">
        <v>17190</v>
      </c>
      <c r="F101" s="479">
        <v>851160</v>
      </c>
      <c r="G101" s="479">
        <v>859755</v>
      </c>
      <c r="H101" s="480">
        <v>137395.30233025842</v>
      </c>
      <c r="I101" s="481">
        <v>137395.30233025842</v>
      </c>
      <c r="J101" s="478">
        <f t="shared" si="25"/>
        <v>0</v>
      </c>
      <c r="K101" s="478"/>
      <c r="L101" s="540">
        <f t="shared" si="26"/>
        <v>137395.30233025842</v>
      </c>
      <c r="M101" s="541">
        <f t="shared" si="27"/>
        <v>0</v>
      </c>
      <c r="N101" s="540">
        <f t="shared" si="28"/>
        <v>137395.30233025842</v>
      </c>
      <c r="O101" s="478">
        <f t="shared" si="29"/>
        <v>0</v>
      </c>
      <c r="P101" s="478">
        <f t="shared" si="30"/>
        <v>0</v>
      </c>
    </row>
    <row r="102" spans="1:16">
      <c r="B102" s="160" t="str">
        <f t="shared" si="31"/>
        <v/>
      </c>
      <c r="C102" s="482">
        <f>IF(D93="","-",+C101+1)</f>
        <v>2012</v>
      </c>
      <c r="D102" s="473">
        <v>851160</v>
      </c>
      <c r="E102" s="480">
        <v>17190</v>
      </c>
      <c r="F102" s="479">
        <v>833970</v>
      </c>
      <c r="G102" s="479">
        <v>842565</v>
      </c>
      <c r="H102" s="480">
        <v>138397.59402070014</v>
      </c>
      <c r="I102" s="481">
        <v>138397.59402070014</v>
      </c>
      <c r="J102" s="478">
        <v>0</v>
      </c>
      <c r="K102" s="478"/>
      <c r="L102" s="540">
        <f t="shared" si="26"/>
        <v>138397.59402070014</v>
      </c>
      <c r="M102" s="541">
        <f t="shared" ref="M102:M107" si="32">IF(L102&lt;&gt;0,+H102-L102,0)</f>
        <v>0</v>
      </c>
      <c r="N102" s="540">
        <f t="shared" si="28"/>
        <v>138397.59402070014</v>
      </c>
      <c r="O102" s="478">
        <f t="shared" ref="O102:O107" si="33">IF(N102&lt;&gt;0,+I102-N102,0)</f>
        <v>0</v>
      </c>
      <c r="P102" s="478">
        <f t="shared" ref="P102:P107" si="34">+O102-M102</f>
        <v>0</v>
      </c>
    </row>
    <row r="103" spans="1:16">
      <c r="B103" s="160" t="str">
        <f t="shared" si="31"/>
        <v/>
      </c>
      <c r="C103" s="472">
        <f>IF(D93="","-",+C102+1)</f>
        <v>2013</v>
      </c>
      <c r="D103" s="473">
        <v>833970</v>
      </c>
      <c r="E103" s="480">
        <v>17190</v>
      </c>
      <c r="F103" s="479">
        <v>816780</v>
      </c>
      <c r="G103" s="479">
        <v>825375</v>
      </c>
      <c r="H103" s="480">
        <v>135994.14234787846</v>
      </c>
      <c r="I103" s="481">
        <v>135994.14234787846</v>
      </c>
      <c r="J103" s="478">
        <v>0</v>
      </c>
      <c r="K103" s="478"/>
      <c r="L103" s="540">
        <f t="shared" si="26"/>
        <v>135994.14234787846</v>
      </c>
      <c r="M103" s="541">
        <f t="shared" si="32"/>
        <v>0</v>
      </c>
      <c r="N103" s="540">
        <f t="shared" si="28"/>
        <v>135994.14234787846</v>
      </c>
      <c r="O103" s="478">
        <f t="shared" si="33"/>
        <v>0</v>
      </c>
      <c r="P103" s="478">
        <f t="shared" si="34"/>
        <v>0</v>
      </c>
    </row>
    <row r="104" spans="1:16">
      <c r="B104" s="160" t="str">
        <f t="shared" si="31"/>
        <v/>
      </c>
      <c r="C104" s="472">
        <f>IF(D93="","-",+C103+1)</f>
        <v>2014</v>
      </c>
      <c r="D104" s="473">
        <v>816780</v>
      </c>
      <c r="E104" s="480">
        <v>17190</v>
      </c>
      <c r="F104" s="479">
        <v>799590</v>
      </c>
      <c r="G104" s="479">
        <v>808185</v>
      </c>
      <c r="H104" s="480">
        <v>130817.50733584017</v>
      </c>
      <c r="I104" s="481">
        <v>130817.50733584017</v>
      </c>
      <c r="J104" s="478">
        <v>0</v>
      </c>
      <c r="K104" s="478"/>
      <c r="L104" s="540">
        <f t="shared" si="26"/>
        <v>130817.50733584017</v>
      </c>
      <c r="M104" s="541">
        <f t="shared" si="32"/>
        <v>0</v>
      </c>
      <c r="N104" s="540">
        <f t="shared" si="28"/>
        <v>130817.50733584017</v>
      </c>
      <c r="O104" s="478">
        <f t="shared" si="33"/>
        <v>0</v>
      </c>
      <c r="P104" s="478">
        <f t="shared" si="34"/>
        <v>0</v>
      </c>
    </row>
    <row r="105" spans="1:16">
      <c r="B105" s="160" t="str">
        <f t="shared" si="31"/>
        <v/>
      </c>
      <c r="C105" s="472">
        <f>IF(D93="","-",+C104+1)</f>
        <v>2015</v>
      </c>
      <c r="D105" s="473">
        <v>799590</v>
      </c>
      <c r="E105" s="480">
        <v>17190</v>
      </c>
      <c r="F105" s="479">
        <v>782400</v>
      </c>
      <c r="G105" s="479">
        <v>790995</v>
      </c>
      <c r="H105" s="480">
        <v>125114.9078367878</v>
      </c>
      <c r="I105" s="481">
        <v>125114.9078367878</v>
      </c>
      <c r="J105" s="478">
        <f t="shared" si="25"/>
        <v>0</v>
      </c>
      <c r="K105" s="478"/>
      <c r="L105" s="540">
        <f t="shared" ref="L105:L110" si="35">H105</f>
        <v>125114.9078367878</v>
      </c>
      <c r="M105" s="541">
        <f t="shared" si="32"/>
        <v>0</v>
      </c>
      <c r="N105" s="540">
        <f t="shared" ref="N105:N110" si="36">I105</f>
        <v>125114.9078367878</v>
      </c>
      <c r="O105" s="478">
        <f t="shared" si="33"/>
        <v>0</v>
      </c>
      <c r="P105" s="478">
        <f t="shared" si="34"/>
        <v>0</v>
      </c>
    </row>
    <row r="106" spans="1:16">
      <c r="B106" s="160" t="str">
        <f t="shared" si="31"/>
        <v/>
      </c>
      <c r="C106" s="472">
        <f>IF(D93="","-",+C105+1)</f>
        <v>2016</v>
      </c>
      <c r="D106" s="473">
        <v>782400</v>
      </c>
      <c r="E106" s="480">
        <v>19432</v>
      </c>
      <c r="F106" s="479">
        <v>762968</v>
      </c>
      <c r="G106" s="479">
        <v>772684</v>
      </c>
      <c r="H106" s="480">
        <v>119043.13650322839</v>
      </c>
      <c r="I106" s="481">
        <v>119043.13650322839</v>
      </c>
      <c r="J106" s="478">
        <f t="shared" si="25"/>
        <v>0</v>
      </c>
      <c r="K106" s="478"/>
      <c r="L106" s="540">
        <f t="shared" si="35"/>
        <v>119043.13650322839</v>
      </c>
      <c r="M106" s="541">
        <f t="shared" si="32"/>
        <v>0</v>
      </c>
      <c r="N106" s="540">
        <f t="shared" si="36"/>
        <v>119043.13650322839</v>
      </c>
      <c r="O106" s="478">
        <f t="shared" si="33"/>
        <v>0</v>
      </c>
      <c r="P106" s="478">
        <f t="shared" si="34"/>
        <v>0</v>
      </c>
    </row>
    <row r="107" spans="1:16">
      <c r="B107" s="160" t="str">
        <f t="shared" si="31"/>
        <v/>
      </c>
      <c r="C107" s="472">
        <f>IF(D93="","-",+C106+1)</f>
        <v>2017</v>
      </c>
      <c r="D107" s="473">
        <v>762968</v>
      </c>
      <c r="E107" s="480">
        <v>19432</v>
      </c>
      <c r="F107" s="479">
        <v>743536</v>
      </c>
      <c r="G107" s="479">
        <v>753252</v>
      </c>
      <c r="H107" s="480">
        <v>114983.91552559278</v>
      </c>
      <c r="I107" s="481">
        <v>114983.91552559278</v>
      </c>
      <c r="J107" s="478">
        <f t="shared" si="25"/>
        <v>0</v>
      </c>
      <c r="K107" s="478"/>
      <c r="L107" s="540">
        <f t="shared" si="35"/>
        <v>114983.91552559278</v>
      </c>
      <c r="M107" s="541">
        <f t="shared" si="32"/>
        <v>0</v>
      </c>
      <c r="N107" s="540">
        <f t="shared" si="36"/>
        <v>114983.91552559278</v>
      </c>
      <c r="O107" s="478">
        <f t="shared" si="33"/>
        <v>0</v>
      </c>
      <c r="P107" s="478">
        <f t="shared" si="34"/>
        <v>0</v>
      </c>
    </row>
    <row r="108" spans="1:16">
      <c r="B108" s="160" t="str">
        <f t="shared" si="31"/>
        <v/>
      </c>
      <c r="C108" s="472">
        <f>IF(D93="","-",+C107+1)</f>
        <v>2018</v>
      </c>
      <c r="D108" s="473">
        <v>743536</v>
      </c>
      <c r="E108" s="480">
        <v>20787</v>
      </c>
      <c r="F108" s="479">
        <v>722749</v>
      </c>
      <c r="G108" s="479">
        <v>733142.5</v>
      </c>
      <c r="H108" s="480">
        <v>96106.810302403712</v>
      </c>
      <c r="I108" s="481">
        <v>96106.810302403712</v>
      </c>
      <c r="J108" s="478">
        <f t="shared" si="25"/>
        <v>0</v>
      </c>
      <c r="K108" s="478"/>
      <c r="L108" s="540">
        <f t="shared" si="35"/>
        <v>96106.810302403712</v>
      </c>
      <c r="M108" s="541">
        <f t="shared" ref="M108" si="37">IF(L108&lt;&gt;0,+H108-L108,0)</f>
        <v>0</v>
      </c>
      <c r="N108" s="540">
        <f t="shared" si="36"/>
        <v>96106.810302403712</v>
      </c>
      <c r="O108" s="478">
        <f t="shared" ref="O108" si="38">IF(N108&lt;&gt;0,+I108-N108,0)</f>
        <v>0</v>
      </c>
      <c r="P108" s="478">
        <f t="shared" ref="P108" si="39">+O108-M108</f>
        <v>0</v>
      </c>
    </row>
    <row r="109" spans="1:16">
      <c r="B109" s="160" t="str">
        <f t="shared" si="31"/>
        <v/>
      </c>
      <c r="C109" s="472">
        <f>IF(D93="","-",+C108+1)</f>
        <v>2019</v>
      </c>
      <c r="D109" s="473">
        <v>722749</v>
      </c>
      <c r="E109" s="480">
        <v>21801</v>
      </c>
      <c r="F109" s="479">
        <v>700948</v>
      </c>
      <c r="G109" s="479">
        <v>711848.5</v>
      </c>
      <c r="H109" s="480">
        <v>95202.564794457576</v>
      </c>
      <c r="I109" s="481">
        <v>95202.564794457576</v>
      </c>
      <c r="J109" s="478">
        <f t="shared" si="25"/>
        <v>0</v>
      </c>
      <c r="K109" s="478"/>
      <c r="L109" s="540">
        <f t="shared" si="35"/>
        <v>95202.564794457576</v>
      </c>
      <c r="M109" s="541">
        <f t="shared" ref="M109" si="40">IF(L109&lt;&gt;0,+H109-L109,0)</f>
        <v>0</v>
      </c>
      <c r="N109" s="540">
        <f t="shared" si="36"/>
        <v>95202.564794457576</v>
      </c>
      <c r="O109" s="478">
        <f t="shared" si="29"/>
        <v>0</v>
      </c>
      <c r="P109" s="478">
        <f t="shared" si="30"/>
        <v>0</v>
      </c>
    </row>
    <row r="110" spans="1:16">
      <c r="B110" s="160" t="str">
        <f t="shared" si="31"/>
        <v/>
      </c>
      <c r="C110" s="472">
        <f>IF(D93="","-",+C109+1)</f>
        <v>2020</v>
      </c>
      <c r="D110" s="473">
        <v>700948</v>
      </c>
      <c r="E110" s="480">
        <v>20787</v>
      </c>
      <c r="F110" s="479">
        <v>680161</v>
      </c>
      <c r="G110" s="479">
        <v>690554.5</v>
      </c>
      <c r="H110" s="480">
        <v>100406.03532694498</v>
      </c>
      <c r="I110" s="481">
        <v>100406.03532694498</v>
      </c>
      <c r="J110" s="478">
        <f t="shared" si="25"/>
        <v>0</v>
      </c>
      <c r="K110" s="478"/>
      <c r="L110" s="540">
        <f t="shared" si="35"/>
        <v>100406.03532694498</v>
      </c>
      <c r="M110" s="541">
        <f t="shared" ref="M110" si="41">IF(L110&lt;&gt;0,+H110-L110,0)</f>
        <v>0</v>
      </c>
      <c r="N110" s="540">
        <f t="shared" si="36"/>
        <v>100406.03532694498</v>
      </c>
      <c r="O110" s="478">
        <f t="shared" si="29"/>
        <v>0</v>
      </c>
      <c r="P110" s="478">
        <f t="shared" si="30"/>
        <v>0</v>
      </c>
    </row>
    <row r="111" spans="1:16">
      <c r="B111" s="160" t="str">
        <f t="shared" si="31"/>
        <v/>
      </c>
      <c r="C111" s="472">
        <f>IF(D93="","-",+C110+1)</f>
        <v>2021</v>
      </c>
      <c r="D111" s="347">
        <f>IF(F110+SUM(E$99:E110)=D$92,F110,D$92-SUM(E$99:E110))</f>
        <v>680161</v>
      </c>
      <c r="E111" s="486">
        <f>IF(+J96&lt;F110,J96,D111)</f>
        <v>21801</v>
      </c>
      <c r="F111" s="485">
        <f t="shared" ref="F111:F130" si="42">+D111-E111</f>
        <v>658360</v>
      </c>
      <c r="G111" s="485">
        <f t="shared" ref="G111:G130" si="43">+(F111+D111)/2</f>
        <v>669260.5</v>
      </c>
      <c r="H111" s="486">
        <f t="shared" ref="H111:H154" si="44">(D111+F111)/2*J$94+E111</f>
        <v>97958.021560633977</v>
      </c>
      <c r="I111" s="542">
        <f t="shared" ref="I111:I131" si="45">+J$95*G111+E111</f>
        <v>97958.021560633977</v>
      </c>
      <c r="J111" s="478">
        <f t="shared" si="25"/>
        <v>0</v>
      </c>
      <c r="K111" s="478"/>
      <c r="L111" s="487"/>
      <c r="M111" s="478">
        <f t="shared" si="27"/>
        <v>0</v>
      </c>
      <c r="N111" s="487"/>
      <c r="O111" s="478">
        <f t="shared" si="29"/>
        <v>0</v>
      </c>
      <c r="P111" s="478">
        <f t="shared" si="30"/>
        <v>0</v>
      </c>
    </row>
    <row r="112" spans="1:16">
      <c r="B112" s="160" t="str">
        <f t="shared" si="31"/>
        <v/>
      </c>
      <c r="C112" s="472">
        <f>IF(D93="","-",+C111+1)</f>
        <v>2022</v>
      </c>
      <c r="D112" s="347">
        <f>IF(F111+SUM(E$99:E111)=D$92,F111,D$92-SUM(E$99:E111))</f>
        <v>658360</v>
      </c>
      <c r="E112" s="486">
        <f>IF(+J96&lt;F111,J96,D112)</f>
        <v>21801</v>
      </c>
      <c r="F112" s="485">
        <f t="shared" si="42"/>
        <v>636559</v>
      </c>
      <c r="G112" s="485">
        <f t="shared" si="43"/>
        <v>647459.5</v>
      </c>
      <c r="H112" s="486">
        <f t="shared" si="44"/>
        <v>95477.224879755042</v>
      </c>
      <c r="I112" s="542">
        <f t="shared" si="45"/>
        <v>95477.224879755042</v>
      </c>
      <c r="J112" s="478">
        <f t="shared" si="25"/>
        <v>0</v>
      </c>
      <c r="K112" s="478"/>
      <c r="L112" s="487"/>
      <c r="M112" s="478">
        <f t="shared" si="27"/>
        <v>0</v>
      </c>
      <c r="N112" s="487"/>
      <c r="O112" s="478">
        <f t="shared" si="29"/>
        <v>0</v>
      </c>
      <c r="P112" s="478">
        <f t="shared" si="30"/>
        <v>0</v>
      </c>
    </row>
    <row r="113" spans="2:16">
      <c r="B113" s="160" t="str">
        <f t="shared" si="31"/>
        <v/>
      </c>
      <c r="C113" s="472">
        <f>IF(D93="","-",+C112+1)</f>
        <v>2023</v>
      </c>
      <c r="D113" s="347">
        <f>IF(F112+SUM(E$99:E112)=D$92,F112,D$92-SUM(E$99:E112))</f>
        <v>636559</v>
      </c>
      <c r="E113" s="486">
        <f>IF(+J96&lt;F112,J96,D113)</f>
        <v>21801</v>
      </c>
      <c r="F113" s="485">
        <f t="shared" si="42"/>
        <v>614758</v>
      </c>
      <c r="G113" s="485">
        <f t="shared" si="43"/>
        <v>625658.5</v>
      </c>
      <c r="H113" s="486">
        <f t="shared" si="44"/>
        <v>92996.428198876092</v>
      </c>
      <c r="I113" s="542">
        <f t="shared" si="45"/>
        <v>92996.428198876092</v>
      </c>
      <c r="J113" s="478">
        <f t="shared" si="25"/>
        <v>0</v>
      </c>
      <c r="K113" s="478"/>
      <c r="L113" s="487"/>
      <c r="M113" s="478">
        <f t="shared" si="27"/>
        <v>0</v>
      </c>
      <c r="N113" s="487"/>
      <c r="O113" s="478">
        <f t="shared" si="29"/>
        <v>0</v>
      </c>
      <c r="P113" s="478">
        <f t="shared" si="30"/>
        <v>0</v>
      </c>
    </row>
    <row r="114" spans="2:16">
      <c r="B114" s="160" t="str">
        <f t="shared" si="31"/>
        <v/>
      </c>
      <c r="C114" s="472">
        <f>IF(D93="","-",+C113+1)</f>
        <v>2024</v>
      </c>
      <c r="D114" s="347">
        <f>IF(F113+SUM(E$99:E113)=D$92,F113,D$92-SUM(E$99:E113))</f>
        <v>614758</v>
      </c>
      <c r="E114" s="486">
        <f>IF(+J96&lt;F113,J96,D114)</f>
        <v>21801</v>
      </c>
      <c r="F114" s="485">
        <f t="shared" si="42"/>
        <v>592957</v>
      </c>
      <c r="G114" s="485">
        <f t="shared" si="43"/>
        <v>603857.5</v>
      </c>
      <c r="H114" s="486">
        <f t="shared" si="44"/>
        <v>90515.631517997157</v>
      </c>
      <c r="I114" s="542">
        <f t="shared" si="45"/>
        <v>90515.631517997157</v>
      </c>
      <c r="J114" s="478">
        <f t="shared" si="25"/>
        <v>0</v>
      </c>
      <c r="K114" s="478"/>
      <c r="L114" s="487"/>
      <c r="M114" s="478">
        <f t="shared" si="27"/>
        <v>0</v>
      </c>
      <c r="N114" s="487"/>
      <c r="O114" s="478">
        <f t="shared" si="29"/>
        <v>0</v>
      </c>
      <c r="P114" s="478">
        <f t="shared" si="30"/>
        <v>0</v>
      </c>
    </row>
    <row r="115" spans="2:16">
      <c r="B115" s="160" t="str">
        <f t="shared" si="31"/>
        <v/>
      </c>
      <c r="C115" s="472">
        <f>IF(D93="","-",+C114+1)</f>
        <v>2025</v>
      </c>
      <c r="D115" s="347">
        <f>IF(F114+SUM(E$99:E114)=D$92,F114,D$92-SUM(E$99:E114))</f>
        <v>592957</v>
      </c>
      <c r="E115" s="486">
        <f>IF(+J96&lt;F114,J96,D115)</f>
        <v>21801</v>
      </c>
      <c r="F115" s="485">
        <f t="shared" si="42"/>
        <v>571156</v>
      </c>
      <c r="G115" s="485">
        <f t="shared" si="43"/>
        <v>582056.5</v>
      </c>
      <c r="H115" s="486">
        <f t="shared" si="44"/>
        <v>88034.834837118207</v>
      </c>
      <c r="I115" s="542">
        <f t="shared" si="45"/>
        <v>88034.834837118207</v>
      </c>
      <c r="J115" s="478">
        <f t="shared" si="25"/>
        <v>0</v>
      </c>
      <c r="K115" s="478"/>
      <c r="L115" s="487"/>
      <c r="M115" s="478">
        <f t="shared" si="27"/>
        <v>0</v>
      </c>
      <c r="N115" s="487"/>
      <c r="O115" s="478">
        <f t="shared" si="29"/>
        <v>0</v>
      </c>
      <c r="P115" s="478">
        <f t="shared" si="30"/>
        <v>0</v>
      </c>
    </row>
    <row r="116" spans="2:16">
      <c r="B116" s="160" t="str">
        <f t="shared" si="31"/>
        <v/>
      </c>
      <c r="C116" s="472">
        <f>IF(D93="","-",+C115+1)</f>
        <v>2026</v>
      </c>
      <c r="D116" s="347">
        <f>IF(F115+SUM(E$99:E115)=D$92,F115,D$92-SUM(E$99:E115))</f>
        <v>571156</v>
      </c>
      <c r="E116" s="486">
        <f>IF(+J96&lt;F115,J96,D116)</f>
        <v>21801</v>
      </c>
      <c r="F116" s="485">
        <f t="shared" si="42"/>
        <v>549355</v>
      </c>
      <c r="G116" s="485">
        <f t="shared" si="43"/>
        <v>560255.5</v>
      </c>
      <c r="H116" s="486">
        <f t="shared" si="44"/>
        <v>85554.038156239272</v>
      </c>
      <c r="I116" s="542">
        <f t="shared" si="45"/>
        <v>85554.038156239272</v>
      </c>
      <c r="J116" s="478">
        <f t="shared" si="25"/>
        <v>0</v>
      </c>
      <c r="K116" s="478"/>
      <c r="L116" s="487"/>
      <c r="M116" s="478">
        <f t="shared" si="27"/>
        <v>0</v>
      </c>
      <c r="N116" s="487"/>
      <c r="O116" s="478">
        <f t="shared" si="29"/>
        <v>0</v>
      </c>
      <c r="P116" s="478">
        <f t="shared" si="30"/>
        <v>0</v>
      </c>
    </row>
    <row r="117" spans="2:16">
      <c r="B117" s="160" t="str">
        <f t="shared" si="31"/>
        <v/>
      </c>
      <c r="C117" s="472">
        <f>IF(D93="","-",+C116+1)</f>
        <v>2027</v>
      </c>
      <c r="D117" s="347">
        <f>IF(F116+SUM(E$99:E116)=D$92,F116,D$92-SUM(E$99:E116))</f>
        <v>549355</v>
      </c>
      <c r="E117" s="486">
        <f>IF(+J96&lt;F116,J96,D117)</f>
        <v>21801</v>
      </c>
      <c r="F117" s="485">
        <f t="shared" si="42"/>
        <v>527554</v>
      </c>
      <c r="G117" s="485">
        <f t="shared" si="43"/>
        <v>538454.5</v>
      </c>
      <c r="H117" s="486">
        <f t="shared" si="44"/>
        <v>83073.241475360323</v>
      </c>
      <c r="I117" s="542">
        <f t="shared" si="45"/>
        <v>83073.241475360323</v>
      </c>
      <c r="J117" s="478">
        <f t="shared" si="25"/>
        <v>0</v>
      </c>
      <c r="K117" s="478"/>
      <c r="L117" s="487"/>
      <c r="M117" s="478">
        <f t="shared" si="27"/>
        <v>0</v>
      </c>
      <c r="N117" s="487"/>
      <c r="O117" s="478">
        <f t="shared" si="29"/>
        <v>0</v>
      </c>
      <c r="P117" s="478">
        <f t="shared" si="30"/>
        <v>0</v>
      </c>
    </row>
    <row r="118" spans="2:16">
      <c r="B118" s="160" t="str">
        <f t="shared" si="31"/>
        <v/>
      </c>
      <c r="C118" s="472">
        <f>IF(D93="","-",+C117+1)</f>
        <v>2028</v>
      </c>
      <c r="D118" s="347">
        <f>IF(F117+SUM(E$99:E117)=D$92,F117,D$92-SUM(E$99:E117))</f>
        <v>527554</v>
      </c>
      <c r="E118" s="486">
        <f>IF(+J96&lt;F117,J96,D118)</f>
        <v>21801</v>
      </c>
      <c r="F118" s="485">
        <f t="shared" si="42"/>
        <v>505753</v>
      </c>
      <c r="G118" s="485">
        <f t="shared" si="43"/>
        <v>516653.5</v>
      </c>
      <c r="H118" s="486">
        <f t="shared" si="44"/>
        <v>80592.444794481387</v>
      </c>
      <c r="I118" s="542">
        <f t="shared" si="45"/>
        <v>80592.444794481387</v>
      </c>
      <c r="J118" s="478">
        <f t="shared" si="25"/>
        <v>0</v>
      </c>
      <c r="K118" s="478"/>
      <c r="L118" s="487"/>
      <c r="M118" s="478">
        <f t="shared" si="27"/>
        <v>0</v>
      </c>
      <c r="N118" s="487"/>
      <c r="O118" s="478">
        <f t="shared" si="29"/>
        <v>0</v>
      </c>
      <c r="P118" s="478">
        <f t="shared" si="30"/>
        <v>0</v>
      </c>
    </row>
    <row r="119" spans="2:16">
      <c r="B119" s="160" t="str">
        <f t="shared" si="31"/>
        <v/>
      </c>
      <c r="C119" s="472">
        <f>IF(D93="","-",+C118+1)</f>
        <v>2029</v>
      </c>
      <c r="D119" s="347">
        <f>IF(F118+SUM(E$99:E118)=D$92,F118,D$92-SUM(E$99:E118))</f>
        <v>505753</v>
      </c>
      <c r="E119" s="486">
        <f>IF(+J96&lt;F118,J96,D119)</f>
        <v>21801</v>
      </c>
      <c r="F119" s="485">
        <f t="shared" si="42"/>
        <v>483952</v>
      </c>
      <c r="G119" s="485">
        <f t="shared" si="43"/>
        <v>494852.5</v>
      </c>
      <c r="H119" s="486">
        <f t="shared" si="44"/>
        <v>78111.648113602452</v>
      </c>
      <c r="I119" s="542">
        <f t="shared" si="45"/>
        <v>78111.648113602452</v>
      </c>
      <c r="J119" s="478">
        <f t="shared" si="25"/>
        <v>0</v>
      </c>
      <c r="K119" s="478"/>
      <c r="L119" s="487"/>
      <c r="M119" s="478">
        <f t="shared" si="27"/>
        <v>0</v>
      </c>
      <c r="N119" s="487"/>
      <c r="O119" s="478">
        <f t="shared" si="29"/>
        <v>0</v>
      </c>
      <c r="P119" s="478">
        <f t="shared" si="30"/>
        <v>0</v>
      </c>
    </row>
    <row r="120" spans="2:16">
      <c r="B120" s="160" t="str">
        <f t="shared" si="31"/>
        <v/>
      </c>
      <c r="C120" s="472">
        <f>IF(D93="","-",+C119+1)</f>
        <v>2030</v>
      </c>
      <c r="D120" s="347">
        <f>IF(F119+SUM(E$99:E119)=D$92,F119,D$92-SUM(E$99:E119))</f>
        <v>483952</v>
      </c>
      <c r="E120" s="486">
        <f>IF(+J96&lt;F119,J96,D120)</f>
        <v>21801</v>
      </c>
      <c r="F120" s="485">
        <f t="shared" si="42"/>
        <v>462151</v>
      </c>
      <c r="G120" s="485">
        <f t="shared" si="43"/>
        <v>473051.5</v>
      </c>
      <c r="H120" s="486">
        <f t="shared" si="44"/>
        <v>75630.851432723503</v>
      </c>
      <c r="I120" s="542">
        <f t="shared" si="45"/>
        <v>75630.851432723503</v>
      </c>
      <c r="J120" s="478">
        <f t="shared" si="25"/>
        <v>0</v>
      </c>
      <c r="K120" s="478"/>
      <c r="L120" s="487"/>
      <c r="M120" s="478">
        <f t="shared" si="27"/>
        <v>0</v>
      </c>
      <c r="N120" s="487"/>
      <c r="O120" s="478">
        <f t="shared" si="29"/>
        <v>0</v>
      </c>
      <c r="P120" s="478">
        <f t="shared" si="30"/>
        <v>0</v>
      </c>
    </row>
    <row r="121" spans="2:16">
      <c r="B121" s="160" t="str">
        <f t="shared" si="31"/>
        <v/>
      </c>
      <c r="C121" s="472">
        <f>IF(D93="","-",+C120+1)</f>
        <v>2031</v>
      </c>
      <c r="D121" s="347">
        <f>IF(F120+SUM(E$99:E120)=D$92,F120,D$92-SUM(E$99:E120))</f>
        <v>462151</v>
      </c>
      <c r="E121" s="486">
        <f>IF(+J96&lt;F120,J96,D121)</f>
        <v>21801</v>
      </c>
      <c r="F121" s="485">
        <f t="shared" si="42"/>
        <v>440350</v>
      </c>
      <c r="G121" s="485">
        <f t="shared" si="43"/>
        <v>451250.5</v>
      </c>
      <c r="H121" s="486">
        <f t="shared" si="44"/>
        <v>73150.054751844553</v>
      </c>
      <c r="I121" s="542">
        <f t="shared" si="45"/>
        <v>73150.054751844553</v>
      </c>
      <c r="J121" s="478">
        <f t="shared" si="25"/>
        <v>0</v>
      </c>
      <c r="K121" s="478"/>
      <c r="L121" s="487"/>
      <c r="M121" s="478">
        <f t="shared" si="27"/>
        <v>0</v>
      </c>
      <c r="N121" s="487"/>
      <c r="O121" s="478">
        <f t="shared" si="29"/>
        <v>0</v>
      </c>
      <c r="P121" s="478">
        <f t="shared" si="30"/>
        <v>0</v>
      </c>
    </row>
    <row r="122" spans="2:16">
      <c r="B122" s="160" t="str">
        <f t="shared" si="31"/>
        <v/>
      </c>
      <c r="C122" s="472">
        <f>IF(D93="","-",+C121+1)</f>
        <v>2032</v>
      </c>
      <c r="D122" s="347">
        <f>IF(F121+SUM(E$99:E121)=D$92,F121,D$92-SUM(E$99:E121))</f>
        <v>440350</v>
      </c>
      <c r="E122" s="486">
        <f>IF(+J96&lt;F121,J96,D122)</f>
        <v>21801</v>
      </c>
      <c r="F122" s="485">
        <f t="shared" si="42"/>
        <v>418549</v>
      </c>
      <c r="G122" s="485">
        <f t="shared" si="43"/>
        <v>429449.5</v>
      </c>
      <c r="H122" s="486">
        <f t="shared" si="44"/>
        <v>70669.258070965618</v>
      </c>
      <c r="I122" s="542">
        <f t="shared" si="45"/>
        <v>70669.258070965618</v>
      </c>
      <c r="J122" s="478">
        <f t="shared" si="25"/>
        <v>0</v>
      </c>
      <c r="K122" s="478"/>
      <c r="L122" s="487"/>
      <c r="M122" s="478">
        <f t="shared" si="27"/>
        <v>0</v>
      </c>
      <c r="N122" s="487"/>
      <c r="O122" s="478">
        <f t="shared" si="29"/>
        <v>0</v>
      </c>
      <c r="P122" s="478">
        <f t="shared" si="30"/>
        <v>0</v>
      </c>
    </row>
    <row r="123" spans="2:16">
      <c r="B123" s="160" t="str">
        <f t="shared" si="31"/>
        <v/>
      </c>
      <c r="C123" s="472">
        <f>IF(D93="","-",+C122+1)</f>
        <v>2033</v>
      </c>
      <c r="D123" s="347">
        <f>IF(F122+SUM(E$99:E122)=D$92,F122,D$92-SUM(E$99:E122))</f>
        <v>418549</v>
      </c>
      <c r="E123" s="486">
        <f>IF(+J96&lt;F122,J96,D123)</f>
        <v>21801</v>
      </c>
      <c r="F123" s="485">
        <f t="shared" si="42"/>
        <v>396748</v>
      </c>
      <c r="G123" s="485">
        <f t="shared" si="43"/>
        <v>407648.5</v>
      </c>
      <c r="H123" s="486">
        <f t="shared" si="44"/>
        <v>68188.461390086683</v>
      </c>
      <c r="I123" s="542">
        <f t="shared" si="45"/>
        <v>68188.461390086683</v>
      </c>
      <c r="J123" s="478">
        <f t="shared" si="25"/>
        <v>0</v>
      </c>
      <c r="K123" s="478"/>
      <c r="L123" s="487"/>
      <c r="M123" s="478">
        <f t="shared" si="27"/>
        <v>0</v>
      </c>
      <c r="N123" s="487"/>
      <c r="O123" s="478">
        <f t="shared" si="29"/>
        <v>0</v>
      </c>
      <c r="P123" s="478">
        <f t="shared" si="30"/>
        <v>0</v>
      </c>
    </row>
    <row r="124" spans="2:16">
      <c r="B124" s="160" t="str">
        <f t="shared" si="31"/>
        <v/>
      </c>
      <c r="C124" s="472">
        <f>IF(D93="","-",+C123+1)</f>
        <v>2034</v>
      </c>
      <c r="D124" s="347">
        <f>IF(F123+SUM(E$99:E123)=D$92,F123,D$92-SUM(E$99:E123))</f>
        <v>396748</v>
      </c>
      <c r="E124" s="486">
        <f>IF(+J96&lt;F123,J96,D124)</f>
        <v>21801</v>
      </c>
      <c r="F124" s="485">
        <f t="shared" si="42"/>
        <v>374947</v>
      </c>
      <c r="G124" s="485">
        <f t="shared" si="43"/>
        <v>385847.5</v>
      </c>
      <c r="H124" s="486">
        <f t="shared" si="44"/>
        <v>65707.664709207733</v>
      </c>
      <c r="I124" s="542">
        <f t="shared" si="45"/>
        <v>65707.664709207733</v>
      </c>
      <c r="J124" s="478">
        <f t="shared" si="25"/>
        <v>0</v>
      </c>
      <c r="K124" s="478"/>
      <c r="L124" s="487"/>
      <c r="M124" s="478">
        <f t="shared" si="27"/>
        <v>0</v>
      </c>
      <c r="N124" s="487"/>
      <c r="O124" s="478">
        <f t="shared" si="29"/>
        <v>0</v>
      </c>
      <c r="P124" s="478">
        <f t="shared" si="30"/>
        <v>0</v>
      </c>
    </row>
    <row r="125" spans="2:16">
      <c r="B125" s="160" t="str">
        <f t="shared" si="31"/>
        <v/>
      </c>
      <c r="C125" s="472">
        <f>IF(D93="","-",+C124+1)</f>
        <v>2035</v>
      </c>
      <c r="D125" s="347">
        <f>IF(F124+SUM(E$99:E124)=D$92,F124,D$92-SUM(E$99:E124))</f>
        <v>374947</v>
      </c>
      <c r="E125" s="486">
        <f>IF(+J96&lt;F124,J96,D125)</f>
        <v>21801</v>
      </c>
      <c r="F125" s="485">
        <f t="shared" si="42"/>
        <v>353146</v>
      </c>
      <c r="G125" s="485">
        <f t="shared" si="43"/>
        <v>364046.5</v>
      </c>
      <c r="H125" s="486">
        <f t="shared" si="44"/>
        <v>63226.86802832879</v>
      </c>
      <c r="I125" s="542">
        <f t="shared" si="45"/>
        <v>63226.86802832879</v>
      </c>
      <c r="J125" s="478">
        <f t="shared" si="25"/>
        <v>0</v>
      </c>
      <c r="K125" s="478"/>
      <c r="L125" s="487"/>
      <c r="M125" s="478">
        <f t="shared" si="27"/>
        <v>0</v>
      </c>
      <c r="N125" s="487"/>
      <c r="O125" s="478">
        <f t="shared" si="29"/>
        <v>0</v>
      </c>
      <c r="P125" s="478">
        <f t="shared" si="30"/>
        <v>0</v>
      </c>
    </row>
    <row r="126" spans="2:16">
      <c r="B126" s="160" t="str">
        <f t="shared" si="31"/>
        <v/>
      </c>
      <c r="C126" s="472">
        <f>IF(D93="","-",+C125+1)</f>
        <v>2036</v>
      </c>
      <c r="D126" s="347">
        <f>IF(F125+SUM(E$99:E125)=D$92,F125,D$92-SUM(E$99:E125))</f>
        <v>353146</v>
      </c>
      <c r="E126" s="486">
        <f>IF(+J96&lt;F125,J96,D126)</f>
        <v>21801</v>
      </c>
      <c r="F126" s="485">
        <f t="shared" si="42"/>
        <v>331345</v>
      </c>
      <c r="G126" s="485">
        <f t="shared" si="43"/>
        <v>342245.5</v>
      </c>
      <c r="H126" s="486">
        <f t="shared" si="44"/>
        <v>60746.071347449848</v>
      </c>
      <c r="I126" s="542">
        <f t="shared" si="45"/>
        <v>60746.071347449848</v>
      </c>
      <c r="J126" s="478">
        <f t="shared" si="25"/>
        <v>0</v>
      </c>
      <c r="K126" s="478"/>
      <c r="L126" s="487"/>
      <c r="M126" s="478">
        <f t="shared" si="27"/>
        <v>0</v>
      </c>
      <c r="N126" s="487"/>
      <c r="O126" s="478">
        <f t="shared" si="29"/>
        <v>0</v>
      </c>
      <c r="P126" s="478">
        <f t="shared" si="30"/>
        <v>0</v>
      </c>
    </row>
    <row r="127" spans="2:16">
      <c r="B127" s="160" t="str">
        <f t="shared" si="31"/>
        <v/>
      </c>
      <c r="C127" s="472">
        <f>IF(D93="","-",+C126+1)</f>
        <v>2037</v>
      </c>
      <c r="D127" s="347">
        <f>IF(F126+SUM(E$99:E126)=D$92,F126,D$92-SUM(E$99:E126))</f>
        <v>331345</v>
      </c>
      <c r="E127" s="486">
        <f>IF(+J96&lt;F126,J96,D127)</f>
        <v>21801</v>
      </c>
      <c r="F127" s="485">
        <f t="shared" si="42"/>
        <v>309544</v>
      </c>
      <c r="G127" s="485">
        <f t="shared" si="43"/>
        <v>320444.5</v>
      </c>
      <c r="H127" s="486">
        <f t="shared" si="44"/>
        <v>58265.274666570906</v>
      </c>
      <c r="I127" s="542">
        <f t="shared" si="45"/>
        <v>58265.274666570906</v>
      </c>
      <c r="J127" s="478">
        <f t="shared" si="25"/>
        <v>0</v>
      </c>
      <c r="K127" s="478"/>
      <c r="L127" s="487"/>
      <c r="M127" s="478">
        <f t="shared" si="27"/>
        <v>0</v>
      </c>
      <c r="N127" s="487"/>
      <c r="O127" s="478">
        <f t="shared" si="29"/>
        <v>0</v>
      </c>
      <c r="P127" s="478">
        <f t="shared" si="30"/>
        <v>0</v>
      </c>
    </row>
    <row r="128" spans="2:16">
      <c r="B128" s="160" t="str">
        <f t="shared" si="31"/>
        <v/>
      </c>
      <c r="C128" s="472">
        <f>IF(D93="","-",+C127+1)</f>
        <v>2038</v>
      </c>
      <c r="D128" s="347">
        <f>IF(F127+SUM(E$99:E127)=D$92,F127,D$92-SUM(E$99:E127))</f>
        <v>309544</v>
      </c>
      <c r="E128" s="486">
        <f>IF(+J96&lt;F127,J96,D128)</f>
        <v>21801</v>
      </c>
      <c r="F128" s="485">
        <f t="shared" si="42"/>
        <v>287743</v>
      </c>
      <c r="G128" s="485">
        <f t="shared" si="43"/>
        <v>298643.5</v>
      </c>
      <c r="H128" s="486">
        <f t="shared" si="44"/>
        <v>55784.477985691963</v>
      </c>
      <c r="I128" s="542">
        <f t="shared" si="45"/>
        <v>55784.477985691963</v>
      </c>
      <c r="J128" s="478">
        <f t="shared" si="25"/>
        <v>0</v>
      </c>
      <c r="K128" s="478"/>
      <c r="L128" s="487"/>
      <c r="M128" s="478">
        <f t="shared" si="27"/>
        <v>0</v>
      </c>
      <c r="N128" s="487"/>
      <c r="O128" s="478">
        <f t="shared" si="29"/>
        <v>0</v>
      </c>
      <c r="P128" s="478">
        <f t="shared" si="30"/>
        <v>0</v>
      </c>
    </row>
    <row r="129" spans="2:16">
      <c r="B129" s="160" t="str">
        <f t="shared" si="31"/>
        <v/>
      </c>
      <c r="C129" s="472">
        <f>IF(D93="","-",+C128+1)</f>
        <v>2039</v>
      </c>
      <c r="D129" s="347">
        <f>IF(F128+SUM(E$99:E128)=D$92,F128,D$92-SUM(E$99:E128))</f>
        <v>287743</v>
      </c>
      <c r="E129" s="486">
        <f>IF(+J96&lt;F128,J96,D129)</f>
        <v>21801</v>
      </c>
      <c r="F129" s="485">
        <f t="shared" si="42"/>
        <v>265942</v>
      </c>
      <c r="G129" s="485">
        <f t="shared" si="43"/>
        <v>276842.5</v>
      </c>
      <c r="H129" s="486">
        <f t="shared" si="44"/>
        <v>53303.681304813021</v>
      </c>
      <c r="I129" s="542">
        <f t="shared" si="45"/>
        <v>53303.681304813021</v>
      </c>
      <c r="J129" s="478">
        <f t="shared" si="25"/>
        <v>0</v>
      </c>
      <c r="K129" s="478"/>
      <c r="L129" s="487"/>
      <c r="M129" s="478">
        <f t="shared" si="27"/>
        <v>0</v>
      </c>
      <c r="N129" s="487"/>
      <c r="O129" s="478">
        <f t="shared" si="29"/>
        <v>0</v>
      </c>
      <c r="P129" s="478">
        <f t="shared" si="30"/>
        <v>0</v>
      </c>
    </row>
    <row r="130" spans="2:16">
      <c r="B130" s="160" t="str">
        <f t="shared" si="31"/>
        <v/>
      </c>
      <c r="C130" s="472">
        <f>IF(D93="","-",+C129+1)</f>
        <v>2040</v>
      </c>
      <c r="D130" s="347">
        <f>IF(F129+SUM(E$99:E129)=D$92,F129,D$92-SUM(E$99:E129))</f>
        <v>265942</v>
      </c>
      <c r="E130" s="486">
        <f>IF(+J96&lt;F129,J96,D130)</f>
        <v>21801</v>
      </c>
      <c r="F130" s="485">
        <f t="shared" si="42"/>
        <v>244141</v>
      </c>
      <c r="G130" s="485">
        <f t="shared" si="43"/>
        <v>255041.5</v>
      </c>
      <c r="H130" s="486">
        <f t="shared" si="44"/>
        <v>50822.884623934078</v>
      </c>
      <c r="I130" s="542">
        <f t="shared" si="45"/>
        <v>50822.884623934078</v>
      </c>
      <c r="J130" s="478">
        <f t="shared" si="25"/>
        <v>0</v>
      </c>
      <c r="K130" s="478"/>
      <c r="L130" s="487"/>
      <c r="M130" s="478">
        <f t="shared" si="27"/>
        <v>0</v>
      </c>
      <c r="N130" s="487"/>
      <c r="O130" s="478">
        <f t="shared" si="29"/>
        <v>0</v>
      </c>
      <c r="P130" s="478">
        <f t="shared" si="30"/>
        <v>0</v>
      </c>
    </row>
    <row r="131" spans="2:16">
      <c r="B131" s="160" t="str">
        <f t="shared" si="31"/>
        <v/>
      </c>
      <c r="C131" s="472">
        <f>IF(D93="","-",+C130+1)</f>
        <v>2041</v>
      </c>
      <c r="D131" s="347">
        <f>IF(F130+SUM(E$99:E130)=D$92,F130,D$92-SUM(E$99:E130))</f>
        <v>244141</v>
      </c>
      <c r="E131" s="486">
        <f>IF(+J96&lt;F130,J96,D131)</f>
        <v>21801</v>
      </c>
      <c r="F131" s="485">
        <f t="shared" ref="F131:F154" si="46">+D131-E131</f>
        <v>222340</v>
      </c>
      <c r="G131" s="485">
        <f t="shared" ref="G131:G154" si="47">+(F131+D131)/2</f>
        <v>233240.5</v>
      </c>
      <c r="H131" s="486">
        <f t="shared" si="44"/>
        <v>48342.087943055136</v>
      </c>
      <c r="I131" s="542">
        <f t="shared" si="45"/>
        <v>48342.087943055136</v>
      </c>
      <c r="J131" s="478">
        <f t="shared" ref="J131:J154" si="48">+I131-H131</f>
        <v>0</v>
      </c>
      <c r="K131" s="478"/>
      <c r="L131" s="487"/>
      <c r="M131" s="478">
        <f t="shared" ref="M131:M154" si="49">IF(L131&lt;&gt;0,+H131-L131,0)</f>
        <v>0</v>
      </c>
      <c r="N131" s="487"/>
      <c r="O131" s="478">
        <f t="shared" ref="O131:O154" si="50">IF(N131&lt;&gt;0,+I131-N131,0)</f>
        <v>0</v>
      </c>
      <c r="P131" s="478">
        <f t="shared" ref="P131:P154" si="51">+O131-M131</f>
        <v>0</v>
      </c>
    </row>
    <row r="132" spans="2:16">
      <c r="B132" s="160" t="str">
        <f t="shared" si="31"/>
        <v/>
      </c>
      <c r="C132" s="472">
        <f>IF(D93="","-",+C131+1)</f>
        <v>2042</v>
      </c>
      <c r="D132" s="347">
        <f>IF(F131+SUM(E$99:E131)=D$92,F131,D$92-SUM(E$99:E131))</f>
        <v>222340</v>
      </c>
      <c r="E132" s="486">
        <f>IF(+J96&lt;F131,J96,D132)</f>
        <v>21801</v>
      </c>
      <c r="F132" s="485">
        <f t="shared" si="46"/>
        <v>200539</v>
      </c>
      <c r="G132" s="485">
        <f t="shared" si="47"/>
        <v>211439.5</v>
      </c>
      <c r="H132" s="486">
        <f t="shared" si="44"/>
        <v>45861.291262176193</v>
      </c>
      <c r="I132" s="542">
        <f t="shared" ref="I132:I154" si="52">+J$95*G132+E132</f>
        <v>45861.291262176193</v>
      </c>
      <c r="J132" s="478">
        <f t="shared" si="48"/>
        <v>0</v>
      </c>
      <c r="K132" s="478"/>
      <c r="L132" s="487"/>
      <c r="M132" s="478">
        <f t="shared" si="49"/>
        <v>0</v>
      </c>
      <c r="N132" s="487"/>
      <c r="O132" s="478">
        <f t="shared" si="50"/>
        <v>0</v>
      </c>
      <c r="P132" s="478">
        <f t="shared" si="51"/>
        <v>0</v>
      </c>
    </row>
    <row r="133" spans="2:16">
      <c r="B133" s="160" t="str">
        <f t="shared" si="31"/>
        <v/>
      </c>
      <c r="C133" s="472">
        <f>IF(D93="","-",+C132+1)</f>
        <v>2043</v>
      </c>
      <c r="D133" s="347">
        <f>IF(F132+SUM(E$99:E132)=D$92,F132,D$92-SUM(E$99:E132))</f>
        <v>200539</v>
      </c>
      <c r="E133" s="486">
        <f>IF(+J96&lt;F132,J96,D133)</f>
        <v>21801</v>
      </c>
      <c r="F133" s="485">
        <f t="shared" si="46"/>
        <v>178738</v>
      </c>
      <c r="G133" s="485">
        <f t="shared" si="47"/>
        <v>189638.5</v>
      </c>
      <c r="H133" s="486">
        <f t="shared" si="44"/>
        <v>43380.494581297244</v>
      </c>
      <c r="I133" s="542">
        <f t="shared" si="52"/>
        <v>43380.494581297244</v>
      </c>
      <c r="J133" s="478">
        <f t="shared" si="48"/>
        <v>0</v>
      </c>
      <c r="K133" s="478"/>
      <c r="L133" s="487"/>
      <c r="M133" s="478">
        <f t="shared" si="49"/>
        <v>0</v>
      </c>
      <c r="N133" s="487"/>
      <c r="O133" s="478">
        <f t="shared" si="50"/>
        <v>0</v>
      </c>
      <c r="P133" s="478">
        <f t="shared" si="51"/>
        <v>0</v>
      </c>
    </row>
    <row r="134" spans="2:16">
      <c r="B134" s="160" t="str">
        <f t="shared" si="31"/>
        <v/>
      </c>
      <c r="C134" s="472">
        <f>IF(D93="","-",+C133+1)</f>
        <v>2044</v>
      </c>
      <c r="D134" s="347">
        <f>IF(F133+SUM(E$99:E133)=D$92,F133,D$92-SUM(E$99:E133))</f>
        <v>178738</v>
      </c>
      <c r="E134" s="486">
        <f>IF(+J96&lt;F133,J96,D134)</f>
        <v>21801</v>
      </c>
      <c r="F134" s="485">
        <f t="shared" si="46"/>
        <v>156937</v>
      </c>
      <c r="G134" s="485">
        <f t="shared" si="47"/>
        <v>167837.5</v>
      </c>
      <c r="H134" s="486">
        <f t="shared" si="44"/>
        <v>40899.697900418309</v>
      </c>
      <c r="I134" s="542">
        <f t="shared" si="52"/>
        <v>40899.697900418309</v>
      </c>
      <c r="J134" s="478">
        <f t="shared" si="48"/>
        <v>0</v>
      </c>
      <c r="K134" s="478"/>
      <c r="L134" s="487"/>
      <c r="M134" s="478">
        <f t="shared" si="49"/>
        <v>0</v>
      </c>
      <c r="N134" s="487"/>
      <c r="O134" s="478">
        <f t="shared" si="50"/>
        <v>0</v>
      </c>
      <c r="P134" s="478">
        <f t="shared" si="51"/>
        <v>0</v>
      </c>
    </row>
    <row r="135" spans="2:16">
      <c r="B135" s="160" t="str">
        <f t="shared" si="31"/>
        <v/>
      </c>
      <c r="C135" s="472">
        <f>IF(D93="","-",+C134+1)</f>
        <v>2045</v>
      </c>
      <c r="D135" s="347">
        <f>IF(F134+SUM(E$99:E134)=D$92,F134,D$92-SUM(E$99:E134))</f>
        <v>156937</v>
      </c>
      <c r="E135" s="486">
        <f>IF(+J96&lt;F134,J96,D135)</f>
        <v>21801</v>
      </c>
      <c r="F135" s="485">
        <f t="shared" si="46"/>
        <v>135136</v>
      </c>
      <c r="G135" s="485">
        <f t="shared" si="47"/>
        <v>146036.5</v>
      </c>
      <c r="H135" s="486">
        <f t="shared" si="44"/>
        <v>38418.901219539359</v>
      </c>
      <c r="I135" s="542">
        <f t="shared" si="52"/>
        <v>38418.901219539359</v>
      </c>
      <c r="J135" s="478">
        <f t="shared" si="48"/>
        <v>0</v>
      </c>
      <c r="K135" s="478"/>
      <c r="L135" s="487"/>
      <c r="M135" s="478">
        <f t="shared" si="49"/>
        <v>0</v>
      </c>
      <c r="N135" s="487"/>
      <c r="O135" s="478">
        <f t="shared" si="50"/>
        <v>0</v>
      </c>
      <c r="P135" s="478">
        <f t="shared" si="51"/>
        <v>0</v>
      </c>
    </row>
    <row r="136" spans="2:16">
      <c r="B136" s="160" t="str">
        <f t="shared" si="31"/>
        <v/>
      </c>
      <c r="C136" s="472">
        <f>IF(D93="","-",+C135+1)</f>
        <v>2046</v>
      </c>
      <c r="D136" s="347">
        <f>IF(F135+SUM(E$99:E135)=D$92,F135,D$92-SUM(E$99:E135))</f>
        <v>135136</v>
      </c>
      <c r="E136" s="486">
        <f>IF(+J96&lt;F135,J96,D136)</f>
        <v>21801</v>
      </c>
      <c r="F136" s="485">
        <f t="shared" si="46"/>
        <v>113335</v>
      </c>
      <c r="G136" s="485">
        <f t="shared" si="47"/>
        <v>124235.5</v>
      </c>
      <c r="H136" s="486">
        <f t="shared" si="44"/>
        <v>35938.104538660424</v>
      </c>
      <c r="I136" s="542">
        <f t="shared" si="52"/>
        <v>35938.104538660424</v>
      </c>
      <c r="J136" s="478">
        <f t="shared" si="48"/>
        <v>0</v>
      </c>
      <c r="K136" s="478"/>
      <c r="L136" s="487"/>
      <c r="M136" s="478">
        <f t="shared" si="49"/>
        <v>0</v>
      </c>
      <c r="N136" s="487"/>
      <c r="O136" s="478">
        <f t="shared" si="50"/>
        <v>0</v>
      </c>
      <c r="P136" s="478">
        <f t="shared" si="51"/>
        <v>0</v>
      </c>
    </row>
    <row r="137" spans="2:16">
      <c r="B137" s="160" t="str">
        <f t="shared" si="31"/>
        <v/>
      </c>
      <c r="C137" s="472">
        <f>IF(D93="","-",+C136+1)</f>
        <v>2047</v>
      </c>
      <c r="D137" s="347">
        <f>IF(F136+SUM(E$99:E136)=D$92,F136,D$92-SUM(E$99:E136))</f>
        <v>113335</v>
      </c>
      <c r="E137" s="486">
        <f>IF(+J96&lt;F136,J96,D137)</f>
        <v>21801</v>
      </c>
      <c r="F137" s="485">
        <f t="shared" si="46"/>
        <v>91534</v>
      </c>
      <c r="G137" s="485">
        <f t="shared" si="47"/>
        <v>102434.5</v>
      </c>
      <c r="H137" s="486">
        <f t="shared" si="44"/>
        <v>33457.307857781481</v>
      </c>
      <c r="I137" s="542">
        <f t="shared" si="52"/>
        <v>33457.307857781481</v>
      </c>
      <c r="J137" s="478">
        <f t="shared" si="48"/>
        <v>0</v>
      </c>
      <c r="K137" s="478"/>
      <c r="L137" s="487"/>
      <c r="M137" s="478">
        <f t="shared" si="49"/>
        <v>0</v>
      </c>
      <c r="N137" s="487"/>
      <c r="O137" s="478">
        <f t="shared" si="50"/>
        <v>0</v>
      </c>
      <c r="P137" s="478">
        <f t="shared" si="51"/>
        <v>0</v>
      </c>
    </row>
    <row r="138" spans="2:16">
      <c r="B138" s="160" t="str">
        <f t="shared" si="31"/>
        <v/>
      </c>
      <c r="C138" s="472">
        <f>IF(D93="","-",+C137+1)</f>
        <v>2048</v>
      </c>
      <c r="D138" s="347">
        <f>IF(F137+SUM(E$99:E137)=D$92,F137,D$92-SUM(E$99:E137))</f>
        <v>91534</v>
      </c>
      <c r="E138" s="486">
        <f>IF(+J96&lt;F137,J96,D138)</f>
        <v>21801</v>
      </c>
      <c r="F138" s="485">
        <f t="shared" si="46"/>
        <v>69733</v>
      </c>
      <c r="G138" s="485">
        <f t="shared" si="47"/>
        <v>80633.5</v>
      </c>
      <c r="H138" s="486">
        <f t="shared" si="44"/>
        <v>30976.511176902539</v>
      </c>
      <c r="I138" s="542">
        <f t="shared" si="52"/>
        <v>30976.511176902539</v>
      </c>
      <c r="J138" s="478">
        <f t="shared" si="48"/>
        <v>0</v>
      </c>
      <c r="K138" s="478"/>
      <c r="L138" s="487"/>
      <c r="M138" s="478">
        <f t="shared" si="49"/>
        <v>0</v>
      </c>
      <c r="N138" s="487"/>
      <c r="O138" s="478">
        <f t="shared" si="50"/>
        <v>0</v>
      </c>
      <c r="P138" s="478">
        <f t="shared" si="51"/>
        <v>0</v>
      </c>
    </row>
    <row r="139" spans="2:16">
      <c r="B139" s="160" t="str">
        <f t="shared" si="31"/>
        <v/>
      </c>
      <c r="C139" s="472">
        <f>IF(D93="","-",+C138+1)</f>
        <v>2049</v>
      </c>
      <c r="D139" s="347">
        <f>IF(F138+SUM(E$99:E138)=D$92,F138,D$92-SUM(E$99:E138))</f>
        <v>69733</v>
      </c>
      <c r="E139" s="486">
        <f>IF(+J96&lt;F138,J96,D139)</f>
        <v>21801</v>
      </c>
      <c r="F139" s="485">
        <f t="shared" si="46"/>
        <v>47932</v>
      </c>
      <c r="G139" s="485">
        <f t="shared" si="47"/>
        <v>58832.5</v>
      </c>
      <c r="H139" s="486">
        <f t="shared" si="44"/>
        <v>28495.714496023596</v>
      </c>
      <c r="I139" s="542">
        <f t="shared" si="52"/>
        <v>28495.714496023596</v>
      </c>
      <c r="J139" s="478">
        <f t="shared" si="48"/>
        <v>0</v>
      </c>
      <c r="K139" s="478"/>
      <c r="L139" s="487"/>
      <c r="M139" s="478">
        <f t="shared" si="49"/>
        <v>0</v>
      </c>
      <c r="N139" s="487"/>
      <c r="O139" s="478">
        <f t="shared" si="50"/>
        <v>0</v>
      </c>
      <c r="P139" s="478">
        <f t="shared" si="51"/>
        <v>0</v>
      </c>
    </row>
    <row r="140" spans="2:16">
      <c r="B140" s="160" t="str">
        <f t="shared" si="31"/>
        <v/>
      </c>
      <c r="C140" s="472">
        <f>IF(D93="","-",+C139+1)</f>
        <v>2050</v>
      </c>
      <c r="D140" s="347">
        <f>IF(F139+SUM(E$99:E139)=D$92,F139,D$92-SUM(E$99:E139))</f>
        <v>47932</v>
      </c>
      <c r="E140" s="486">
        <f>IF(+J96&lt;F139,J96,D140)</f>
        <v>21801</v>
      </c>
      <c r="F140" s="485">
        <f t="shared" si="46"/>
        <v>26131</v>
      </c>
      <c r="G140" s="485">
        <f t="shared" si="47"/>
        <v>37031.5</v>
      </c>
      <c r="H140" s="486">
        <f t="shared" si="44"/>
        <v>26014.917815144654</v>
      </c>
      <c r="I140" s="542">
        <f t="shared" si="52"/>
        <v>26014.917815144654</v>
      </c>
      <c r="J140" s="478">
        <f t="shared" si="48"/>
        <v>0</v>
      </c>
      <c r="K140" s="478"/>
      <c r="L140" s="487"/>
      <c r="M140" s="478">
        <f t="shared" si="49"/>
        <v>0</v>
      </c>
      <c r="N140" s="487"/>
      <c r="O140" s="478">
        <f t="shared" si="50"/>
        <v>0</v>
      </c>
      <c r="P140" s="478">
        <f t="shared" si="51"/>
        <v>0</v>
      </c>
    </row>
    <row r="141" spans="2:16">
      <c r="B141" s="160" t="str">
        <f t="shared" si="31"/>
        <v/>
      </c>
      <c r="C141" s="472">
        <f>IF(D93="","-",+C140+1)</f>
        <v>2051</v>
      </c>
      <c r="D141" s="347">
        <f>IF(F140+SUM(E$99:E140)=D$92,F140,D$92-SUM(E$99:E140))</f>
        <v>26131</v>
      </c>
      <c r="E141" s="486">
        <f>IF(+J96&lt;F140,J96,D141)</f>
        <v>21801</v>
      </c>
      <c r="F141" s="485">
        <f t="shared" si="46"/>
        <v>4330</v>
      </c>
      <c r="G141" s="485">
        <f t="shared" si="47"/>
        <v>15230.5</v>
      </c>
      <c r="H141" s="486">
        <f t="shared" si="44"/>
        <v>23534.121134265708</v>
      </c>
      <c r="I141" s="542">
        <f t="shared" si="52"/>
        <v>23534.121134265708</v>
      </c>
      <c r="J141" s="478">
        <f t="shared" si="48"/>
        <v>0</v>
      </c>
      <c r="K141" s="478"/>
      <c r="L141" s="487"/>
      <c r="M141" s="478">
        <f t="shared" si="49"/>
        <v>0</v>
      </c>
      <c r="N141" s="487"/>
      <c r="O141" s="478">
        <f t="shared" si="50"/>
        <v>0</v>
      </c>
      <c r="P141" s="478">
        <f t="shared" si="51"/>
        <v>0</v>
      </c>
    </row>
    <row r="142" spans="2:16">
      <c r="B142" s="160" t="str">
        <f t="shared" si="31"/>
        <v/>
      </c>
      <c r="C142" s="472">
        <f>IF(D93="","-",+C141+1)</f>
        <v>2052</v>
      </c>
      <c r="D142" s="347">
        <f>IF(F141+SUM(E$99:E141)=D$92,F141,D$92-SUM(E$99:E141))</f>
        <v>4330</v>
      </c>
      <c r="E142" s="486">
        <f>IF(+J96&lt;F141,J96,D142)</f>
        <v>4330</v>
      </c>
      <c r="F142" s="485">
        <f t="shared" si="46"/>
        <v>0</v>
      </c>
      <c r="G142" s="485">
        <f t="shared" si="47"/>
        <v>2165</v>
      </c>
      <c r="H142" s="486">
        <f t="shared" si="44"/>
        <v>4576.3613969131193</v>
      </c>
      <c r="I142" s="542">
        <f t="shared" si="52"/>
        <v>4576.3613969131193</v>
      </c>
      <c r="J142" s="478">
        <f t="shared" si="48"/>
        <v>0</v>
      </c>
      <c r="K142" s="478"/>
      <c r="L142" s="487"/>
      <c r="M142" s="478">
        <f t="shared" si="49"/>
        <v>0</v>
      </c>
      <c r="N142" s="487"/>
      <c r="O142" s="478">
        <f t="shared" si="50"/>
        <v>0</v>
      </c>
      <c r="P142" s="478">
        <f t="shared" si="51"/>
        <v>0</v>
      </c>
    </row>
    <row r="143" spans="2:16">
      <c r="B143" s="160" t="str">
        <f t="shared" si="31"/>
        <v/>
      </c>
      <c r="C143" s="472">
        <f>IF(D93="","-",+C142+1)</f>
        <v>2053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46"/>
        <v>0</v>
      </c>
      <c r="G143" s="485">
        <f t="shared" si="47"/>
        <v>0</v>
      </c>
      <c r="H143" s="486">
        <f t="shared" si="44"/>
        <v>0</v>
      </c>
      <c r="I143" s="542">
        <f t="shared" si="52"/>
        <v>0</v>
      </c>
      <c r="J143" s="478">
        <f t="shared" si="48"/>
        <v>0</v>
      </c>
      <c r="K143" s="478"/>
      <c r="L143" s="487"/>
      <c r="M143" s="478">
        <f t="shared" si="49"/>
        <v>0</v>
      </c>
      <c r="N143" s="487"/>
      <c r="O143" s="478">
        <f t="shared" si="50"/>
        <v>0</v>
      </c>
      <c r="P143" s="478">
        <f t="shared" si="51"/>
        <v>0</v>
      </c>
    </row>
    <row r="144" spans="2:16">
      <c r="B144" s="160" t="str">
        <f t="shared" si="31"/>
        <v/>
      </c>
      <c r="C144" s="472">
        <f>IF(D93="","-",+C143+1)</f>
        <v>2054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46"/>
        <v>0</v>
      </c>
      <c r="G144" s="485">
        <f t="shared" si="47"/>
        <v>0</v>
      </c>
      <c r="H144" s="486">
        <f t="shared" si="44"/>
        <v>0</v>
      </c>
      <c r="I144" s="542">
        <f t="shared" si="52"/>
        <v>0</v>
      </c>
      <c r="J144" s="478">
        <f t="shared" si="48"/>
        <v>0</v>
      </c>
      <c r="K144" s="478"/>
      <c r="L144" s="487"/>
      <c r="M144" s="478">
        <f t="shared" si="49"/>
        <v>0</v>
      </c>
      <c r="N144" s="487"/>
      <c r="O144" s="478">
        <f t="shared" si="50"/>
        <v>0</v>
      </c>
      <c r="P144" s="478">
        <f t="shared" si="51"/>
        <v>0</v>
      </c>
    </row>
    <row r="145" spans="2:16">
      <c r="B145" s="160" t="str">
        <f t="shared" si="31"/>
        <v/>
      </c>
      <c r="C145" s="472">
        <f>IF(D93="","-",+C144+1)</f>
        <v>2055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46"/>
        <v>0</v>
      </c>
      <c r="G145" s="485">
        <f t="shared" si="47"/>
        <v>0</v>
      </c>
      <c r="H145" s="486">
        <f t="shared" si="44"/>
        <v>0</v>
      </c>
      <c r="I145" s="542">
        <f t="shared" si="52"/>
        <v>0</v>
      </c>
      <c r="J145" s="478">
        <f t="shared" si="48"/>
        <v>0</v>
      </c>
      <c r="K145" s="478"/>
      <c r="L145" s="487"/>
      <c r="M145" s="478">
        <f t="shared" si="49"/>
        <v>0</v>
      </c>
      <c r="N145" s="487"/>
      <c r="O145" s="478">
        <f t="shared" si="50"/>
        <v>0</v>
      </c>
      <c r="P145" s="478">
        <f t="shared" si="51"/>
        <v>0</v>
      </c>
    </row>
    <row r="146" spans="2:16">
      <c r="B146" s="160" t="str">
        <f t="shared" si="31"/>
        <v/>
      </c>
      <c r="C146" s="472">
        <f>IF(D93="","-",+C145+1)</f>
        <v>2056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46"/>
        <v>0</v>
      </c>
      <c r="G146" s="485">
        <f t="shared" si="47"/>
        <v>0</v>
      </c>
      <c r="H146" s="486">
        <f t="shared" si="44"/>
        <v>0</v>
      </c>
      <c r="I146" s="542">
        <f t="shared" si="52"/>
        <v>0</v>
      </c>
      <c r="J146" s="478">
        <f t="shared" si="48"/>
        <v>0</v>
      </c>
      <c r="K146" s="478"/>
      <c r="L146" s="487"/>
      <c r="M146" s="478">
        <f t="shared" si="49"/>
        <v>0</v>
      </c>
      <c r="N146" s="487"/>
      <c r="O146" s="478">
        <f t="shared" si="50"/>
        <v>0</v>
      </c>
      <c r="P146" s="478">
        <f t="shared" si="51"/>
        <v>0</v>
      </c>
    </row>
    <row r="147" spans="2:16">
      <c r="B147" s="160" t="str">
        <f t="shared" si="31"/>
        <v/>
      </c>
      <c r="C147" s="472">
        <f>IF(D93="","-",+C146+1)</f>
        <v>2057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46"/>
        <v>0</v>
      </c>
      <c r="G147" s="485">
        <f t="shared" si="47"/>
        <v>0</v>
      </c>
      <c r="H147" s="486">
        <f t="shared" si="44"/>
        <v>0</v>
      </c>
      <c r="I147" s="542">
        <f t="shared" si="52"/>
        <v>0</v>
      </c>
      <c r="J147" s="478">
        <f t="shared" si="48"/>
        <v>0</v>
      </c>
      <c r="K147" s="478"/>
      <c r="L147" s="487"/>
      <c r="M147" s="478">
        <f t="shared" si="49"/>
        <v>0</v>
      </c>
      <c r="N147" s="487"/>
      <c r="O147" s="478">
        <f t="shared" si="50"/>
        <v>0</v>
      </c>
      <c r="P147" s="478">
        <f t="shared" si="51"/>
        <v>0</v>
      </c>
    </row>
    <row r="148" spans="2:16">
      <c r="B148" s="160" t="str">
        <f t="shared" si="31"/>
        <v/>
      </c>
      <c r="C148" s="472">
        <f>IF(D93="","-",+C147+1)</f>
        <v>2058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46"/>
        <v>0</v>
      </c>
      <c r="G148" s="485">
        <f t="shared" si="47"/>
        <v>0</v>
      </c>
      <c r="H148" s="486">
        <f t="shared" si="44"/>
        <v>0</v>
      </c>
      <c r="I148" s="542">
        <f t="shared" si="52"/>
        <v>0</v>
      </c>
      <c r="J148" s="478">
        <f t="shared" si="48"/>
        <v>0</v>
      </c>
      <c r="K148" s="478"/>
      <c r="L148" s="487"/>
      <c r="M148" s="478">
        <f t="shared" si="49"/>
        <v>0</v>
      </c>
      <c r="N148" s="487"/>
      <c r="O148" s="478">
        <f t="shared" si="50"/>
        <v>0</v>
      </c>
      <c r="P148" s="478">
        <f t="shared" si="51"/>
        <v>0</v>
      </c>
    </row>
    <row r="149" spans="2:16">
      <c r="B149" s="160" t="str">
        <f t="shared" si="31"/>
        <v/>
      </c>
      <c r="C149" s="472">
        <f>IF(D93="","-",+C148+1)</f>
        <v>2059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46"/>
        <v>0</v>
      </c>
      <c r="G149" s="485">
        <f t="shared" si="47"/>
        <v>0</v>
      </c>
      <c r="H149" s="486">
        <f t="shared" si="44"/>
        <v>0</v>
      </c>
      <c r="I149" s="542">
        <f t="shared" si="52"/>
        <v>0</v>
      </c>
      <c r="J149" s="478">
        <f t="shared" si="48"/>
        <v>0</v>
      </c>
      <c r="K149" s="478"/>
      <c r="L149" s="487"/>
      <c r="M149" s="478">
        <f t="shared" si="49"/>
        <v>0</v>
      </c>
      <c r="N149" s="487"/>
      <c r="O149" s="478">
        <f t="shared" si="50"/>
        <v>0</v>
      </c>
      <c r="P149" s="478">
        <f t="shared" si="51"/>
        <v>0</v>
      </c>
    </row>
    <row r="150" spans="2:16">
      <c r="B150" s="160" t="str">
        <f t="shared" si="31"/>
        <v/>
      </c>
      <c r="C150" s="472">
        <f>IF(D93="","-",+C149+1)</f>
        <v>2060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46"/>
        <v>0</v>
      </c>
      <c r="G150" s="485">
        <f t="shared" si="47"/>
        <v>0</v>
      </c>
      <c r="H150" s="486">
        <f t="shared" si="44"/>
        <v>0</v>
      </c>
      <c r="I150" s="542">
        <f t="shared" si="52"/>
        <v>0</v>
      </c>
      <c r="J150" s="478">
        <f t="shared" si="48"/>
        <v>0</v>
      </c>
      <c r="K150" s="478"/>
      <c r="L150" s="487"/>
      <c r="M150" s="478">
        <f t="shared" si="49"/>
        <v>0</v>
      </c>
      <c r="N150" s="487"/>
      <c r="O150" s="478">
        <f t="shared" si="50"/>
        <v>0</v>
      </c>
      <c r="P150" s="478">
        <f t="shared" si="51"/>
        <v>0</v>
      </c>
    </row>
    <row r="151" spans="2:16">
      <c r="B151" s="160" t="str">
        <f t="shared" si="31"/>
        <v/>
      </c>
      <c r="C151" s="472">
        <f>IF(D93="","-",+C150+1)</f>
        <v>2061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46"/>
        <v>0</v>
      </c>
      <c r="G151" s="485">
        <f t="shared" si="47"/>
        <v>0</v>
      </c>
      <c r="H151" s="486">
        <f t="shared" si="44"/>
        <v>0</v>
      </c>
      <c r="I151" s="542">
        <f t="shared" si="52"/>
        <v>0</v>
      </c>
      <c r="J151" s="478">
        <f t="shared" si="48"/>
        <v>0</v>
      </c>
      <c r="K151" s="478"/>
      <c r="L151" s="487"/>
      <c r="M151" s="478">
        <f t="shared" si="49"/>
        <v>0</v>
      </c>
      <c r="N151" s="487"/>
      <c r="O151" s="478">
        <f t="shared" si="50"/>
        <v>0</v>
      </c>
      <c r="P151" s="478">
        <f t="shared" si="51"/>
        <v>0</v>
      </c>
    </row>
    <row r="152" spans="2:16">
      <c r="B152" s="160" t="str">
        <f t="shared" si="31"/>
        <v/>
      </c>
      <c r="C152" s="472">
        <f>IF(D93="","-",+C151+1)</f>
        <v>2062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46"/>
        <v>0</v>
      </c>
      <c r="G152" s="485">
        <f t="shared" si="47"/>
        <v>0</v>
      </c>
      <c r="H152" s="486">
        <f t="shared" si="44"/>
        <v>0</v>
      </c>
      <c r="I152" s="542">
        <f t="shared" si="52"/>
        <v>0</v>
      </c>
      <c r="J152" s="478">
        <f t="shared" si="48"/>
        <v>0</v>
      </c>
      <c r="K152" s="478"/>
      <c r="L152" s="487"/>
      <c r="M152" s="478">
        <f t="shared" si="49"/>
        <v>0</v>
      </c>
      <c r="N152" s="487"/>
      <c r="O152" s="478">
        <f t="shared" si="50"/>
        <v>0</v>
      </c>
      <c r="P152" s="478">
        <f t="shared" si="51"/>
        <v>0</v>
      </c>
    </row>
    <row r="153" spans="2:16">
      <c r="B153" s="160" t="str">
        <f t="shared" si="31"/>
        <v/>
      </c>
      <c r="C153" s="472">
        <f>IF(D93="","-",+C152+1)</f>
        <v>2063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46"/>
        <v>0</v>
      </c>
      <c r="G153" s="485">
        <f t="shared" si="47"/>
        <v>0</v>
      </c>
      <c r="H153" s="486">
        <f t="shared" si="44"/>
        <v>0</v>
      </c>
      <c r="I153" s="542">
        <f t="shared" si="52"/>
        <v>0</v>
      </c>
      <c r="J153" s="478">
        <f t="shared" si="48"/>
        <v>0</v>
      </c>
      <c r="K153" s="478"/>
      <c r="L153" s="487"/>
      <c r="M153" s="478">
        <f t="shared" si="49"/>
        <v>0</v>
      </c>
      <c r="N153" s="487"/>
      <c r="O153" s="478">
        <f t="shared" si="50"/>
        <v>0</v>
      </c>
      <c r="P153" s="478">
        <f t="shared" si="51"/>
        <v>0</v>
      </c>
    </row>
    <row r="154" spans="2:16" ht="13.5" thickBot="1">
      <c r="B154" s="160" t="str">
        <f t="shared" si="31"/>
        <v/>
      </c>
      <c r="C154" s="489">
        <f>IF(D93="","-",+C153+1)</f>
        <v>2064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6"/>
        <v>0</v>
      </c>
      <c r="G154" s="490">
        <f t="shared" si="47"/>
        <v>0</v>
      </c>
      <c r="H154" s="490">
        <f t="shared" si="44"/>
        <v>0</v>
      </c>
      <c r="I154" s="545">
        <f t="shared" si="52"/>
        <v>0</v>
      </c>
      <c r="J154" s="495">
        <f t="shared" si="48"/>
        <v>0</v>
      </c>
      <c r="K154" s="478"/>
      <c r="L154" s="494"/>
      <c r="M154" s="495">
        <f t="shared" si="49"/>
        <v>0</v>
      </c>
      <c r="N154" s="494"/>
      <c r="O154" s="495">
        <f t="shared" si="50"/>
        <v>0</v>
      </c>
      <c r="P154" s="495">
        <f t="shared" si="51"/>
        <v>0</v>
      </c>
    </row>
    <row r="155" spans="2:16">
      <c r="C155" s="347" t="s">
        <v>77</v>
      </c>
      <c r="D155" s="348"/>
      <c r="E155" s="348">
        <f>SUM(E99:E154)</f>
        <v>893858</v>
      </c>
      <c r="F155" s="348"/>
      <c r="G155" s="348"/>
      <c r="H155" s="348">
        <f>SUM(H99:H154)</f>
        <v>3312488.68949195</v>
      </c>
      <c r="I155" s="348">
        <f>SUM(I99:I154)</f>
        <v>3312488.68949195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96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48" t="s">
        <v>145</v>
      </c>
    </row>
  </sheetData>
  <phoneticPr fontId="0" type="noConversion"/>
  <conditionalFormatting sqref="C17:C72">
    <cfRule type="cellIs" dxfId="62" priority="1" stopIfTrue="1" operator="equal">
      <formula>$I$10</formula>
    </cfRule>
  </conditionalFormatting>
  <conditionalFormatting sqref="C99:C154">
    <cfRule type="cellIs" dxfId="6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0"/>
  <dimension ref="A1:P162"/>
  <sheetViews>
    <sheetView zoomScaleNormal="100" zoomScaleSheetLayoutView="75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2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480370.47549623175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480370.47549623175</v>
      </c>
      <c r="O6" s="233"/>
      <c r="P6" s="233"/>
    </row>
    <row r="7" spans="1:16" ht="13.5" thickBot="1">
      <c r="C7" s="431" t="s">
        <v>46</v>
      </c>
      <c r="D7" s="432" t="s">
        <v>210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80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4688896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2009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109044.09302325582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C17" s="472">
        <f>IF(D11= "","-",D11)</f>
        <v>2009</v>
      </c>
      <c r="D17" s="473">
        <v>6704177</v>
      </c>
      <c r="E17" s="474">
        <v>73788</v>
      </c>
      <c r="F17" s="473">
        <v>6630389</v>
      </c>
      <c r="G17" s="474">
        <v>750999</v>
      </c>
      <c r="H17" s="474">
        <v>750999</v>
      </c>
      <c r="I17" s="475">
        <f t="shared" ref="I17:I48" si="0">H17-G17</f>
        <v>0</v>
      </c>
      <c r="J17" s="475"/>
      <c r="K17" s="476">
        <v>750999</v>
      </c>
      <c r="L17" s="477">
        <f t="shared" ref="L17:L48" si="1">IF(K17&lt;&gt;0,+G17-K17,0)</f>
        <v>0</v>
      </c>
      <c r="M17" s="476">
        <v>750999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2010</v>
      </c>
      <c r="D18" s="479">
        <v>4651603</v>
      </c>
      <c r="E18" s="480">
        <v>84382</v>
      </c>
      <c r="F18" s="479">
        <v>4567221</v>
      </c>
      <c r="G18" s="480">
        <v>743416</v>
      </c>
      <c r="H18" s="481">
        <v>743416</v>
      </c>
      <c r="I18" s="475">
        <f t="shared" si="0"/>
        <v>0</v>
      </c>
      <c r="J18" s="475"/>
      <c r="K18" s="476">
        <f t="shared" ref="K18:K23" si="4">G18</f>
        <v>743416</v>
      </c>
      <c r="L18" s="550">
        <f t="shared" si="1"/>
        <v>0</v>
      </c>
      <c r="M18" s="476">
        <f t="shared" ref="M18:M23" si="5">H18</f>
        <v>743416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>IU</v>
      </c>
      <c r="C19" s="472">
        <f>IF(D11="","-",+C18+1)</f>
        <v>2011</v>
      </c>
      <c r="D19" s="479">
        <v>4530726</v>
      </c>
      <c r="E19" s="480">
        <v>91939.137254901958</v>
      </c>
      <c r="F19" s="479">
        <v>4438786.8627450978</v>
      </c>
      <c r="G19" s="480">
        <v>786801.66702531651</v>
      </c>
      <c r="H19" s="481">
        <v>786801.66702531651</v>
      </c>
      <c r="I19" s="475">
        <f t="shared" si="0"/>
        <v>0</v>
      </c>
      <c r="J19" s="475"/>
      <c r="K19" s="476">
        <f t="shared" si="4"/>
        <v>786801.66702531651</v>
      </c>
      <c r="L19" s="550">
        <f t="shared" si="1"/>
        <v>0</v>
      </c>
      <c r="M19" s="476">
        <f t="shared" si="5"/>
        <v>786801.66702531651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6">IF(D20=F19,"","IU")</f>
        <v/>
      </c>
      <c r="C20" s="472">
        <f>IF(D11="","-",+C19+1)</f>
        <v>2012</v>
      </c>
      <c r="D20" s="479">
        <v>4438786.8627450978</v>
      </c>
      <c r="E20" s="480">
        <v>90171.076923076922</v>
      </c>
      <c r="F20" s="479">
        <v>4348615.7858220208</v>
      </c>
      <c r="G20" s="480">
        <v>695527.67751323315</v>
      </c>
      <c r="H20" s="481">
        <v>695527.67751323315</v>
      </c>
      <c r="I20" s="475">
        <f t="shared" si="0"/>
        <v>0</v>
      </c>
      <c r="J20" s="475"/>
      <c r="K20" s="476">
        <f t="shared" si="4"/>
        <v>695527.67751323315</v>
      </c>
      <c r="L20" s="550">
        <f t="shared" si="1"/>
        <v>0</v>
      </c>
      <c r="M20" s="476">
        <f t="shared" si="5"/>
        <v>695527.67751323315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6"/>
        <v/>
      </c>
      <c r="C21" s="472">
        <f>IF(D12="","-",+C20+1)</f>
        <v>2013</v>
      </c>
      <c r="D21" s="479">
        <v>4348615.7858220208</v>
      </c>
      <c r="E21" s="480">
        <v>90171.076923076922</v>
      </c>
      <c r="F21" s="479">
        <v>4258444.7088989438</v>
      </c>
      <c r="G21" s="480">
        <v>698305.7699783385</v>
      </c>
      <c r="H21" s="481">
        <v>698305.7699783385</v>
      </c>
      <c r="I21" s="475">
        <v>0</v>
      </c>
      <c r="J21" s="475"/>
      <c r="K21" s="476">
        <f t="shared" si="4"/>
        <v>698305.7699783385</v>
      </c>
      <c r="L21" s="550">
        <f t="shared" ref="L21:L26" si="7">IF(K21&lt;&gt;0,+G21-K21,0)</f>
        <v>0</v>
      </c>
      <c r="M21" s="476">
        <f t="shared" si="5"/>
        <v>698305.7699783385</v>
      </c>
      <c r="N21" s="478">
        <f t="shared" ref="N21:N26" si="8">IF(M21&lt;&gt;0,+H21-M21,0)</f>
        <v>0</v>
      </c>
      <c r="O21" s="478">
        <f t="shared" ref="O21:O26" si="9">+N21-L21</f>
        <v>0</v>
      </c>
      <c r="P21" s="243"/>
    </row>
    <row r="22" spans="2:16">
      <c r="B22" s="160" t="str">
        <f t="shared" si="6"/>
        <v/>
      </c>
      <c r="C22" s="472">
        <f>IF(D11="","-",+C21+1)</f>
        <v>2014</v>
      </c>
      <c r="D22" s="479">
        <v>4258444.7088989438</v>
      </c>
      <c r="E22" s="480">
        <v>90171.076923076922</v>
      </c>
      <c r="F22" s="479">
        <v>4168273.6319758669</v>
      </c>
      <c r="G22" s="480">
        <v>663970.48849892756</v>
      </c>
      <c r="H22" s="481">
        <v>663970.48849892756</v>
      </c>
      <c r="I22" s="475">
        <v>0</v>
      </c>
      <c r="J22" s="475"/>
      <c r="K22" s="476">
        <f t="shared" si="4"/>
        <v>663970.48849892756</v>
      </c>
      <c r="L22" s="550">
        <f t="shared" si="7"/>
        <v>0</v>
      </c>
      <c r="M22" s="476">
        <f t="shared" si="5"/>
        <v>663970.48849892756</v>
      </c>
      <c r="N22" s="478">
        <f t="shared" si="8"/>
        <v>0</v>
      </c>
      <c r="O22" s="478">
        <f t="shared" si="9"/>
        <v>0</v>
      </c>
      <c r="P22" s="243"/>
    </row>
    <row r="23" spans="2:16">
      <c r="B23" s="160" t="str">
        <f t="shared" si="6"/>
        <v/>
      </c>
      <c r="C23" s="472">
        <f>IF(D11="","-",+C22+1)</f>
        <v>2015</v>
      </c>
      <c r="D23" s="479">
        <v>4168273.6319758669</v>
      </c>
      <c r="E23" s="480">
        <v>90171.076923076922</v>
      </c>
      <c r="F23" s="479">
        <v>4078102.5550527899</v>
      </c>
      <c r="G23" s="480">
        <v>652425.83265151177</v>
      </c>
      <c r="H23" s="481">
        <v>652425.83265151177</v>
      </c>
      <c r="I23" s="475">
        <v>0</v>
      </c>
      <c r="J23" s="475"/>
      <c r="K23" s="476">
        <f t="shared" si="4"/>
        <v>652425.83265151177</v>
      </c>
      <c r="L23" s="550">
        <f t="shared" si="7"/>
        <v>0</v>
      </c>
      <c r="M23" s="476">
        <f t="shared" si="5"/>
        <v>652425.83265151177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2016</v>
      </c>
      <c r="D24" s="479">
        <v>4078102.5550527899</v>
      </c>
      <c r="E24" s="480">
        <v>90171.076923076922</v>
      </c>
      <c r="F24" s="479">
        <v>3987931.4781297129</v>
      </c>
      <c r="G24" s="480">
        <v>613226.71011811122</v>
      </c>
      <c r="H24" s="481">
        <v>613226.71011811122</v>
      </c>
      <c r="I24" s="475">
        <f t="shared" si="0"/>
        <v>0</v>
      </c>
      <c r="J24" s="475"/>
      <c r="K24" s="476">
        <f t="shared" ref="K24:K29" si="10">G24</f>
        <v>613226.71011811122</v>
      </c>
      <c r="L24" s="550">
        <f t="shared" si="7"/>
        <v>0</v>
      </c>
      <c r="M24" s="476">
        <f t="shared" ref="M24:M29" si="11">H24</f>
        <v>613226.71011811122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6"/>
        <v/>
      </c>
      <c r="C25" s="472">
        <f>IF(D11="","-",+C24+1)</f>
        <v>2017</v>
      </c>
      <c r="D25" s="479">
        <v>3987931.4781297129</v>
      </c>
      <c r="E25" s="480">
        <v>101932.52173913043</v>
      </c>
      <c r="F25" s="479">
        <v>3885998.9563905825</v>
      </c>
      <c r="G25" s="480">
        <v>596467.29312714399</v>
      </c>
      <c r="H25" s="481">
        <v>596467.29312714399</v>
      </c>
      <c r="I25" s="475">
        <f t="shared" si="0"/>
        <v>0</v>
      </c>
      <c r="J25" s="551"/>
      <c r="K25" s="476">
        <f t="shared" si="10"/>
        <v>596467.29312714399</v>
      </c>
      <c r="L25" s="550">
        <f t="shared" si="7"/>
        <v>0</v>
      </c>
      <c r="M25" s="476">
        <f t="shared" si="11"/>
        <v>596467.29312714399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/>
      </c>
      <c r="C26" s="472">
        <f>IF(D11="","-",+C25+1)</f>
        <v>2018</v>
      </c>
      <c r="D26" s="479">
        <v>3885998.9563905825</v>
      </c>
      <c r="E26" s="480">
        <v>104197.68888888889</v>
      </c>
      <c r="F26" s="479">
        <v>3781801.2675016937</v>
      </c>
      <c r="G26" s="480">
        <v>616009.3144662733</v>
      </c>
      <c r="H26" s="481">
        <v>616009.3144662733</v>
      </c>
      <c r="I26" s="475">
        <f t="shared" si="0"/>
        <v>0</v>
      </c>
      <c r="J26" s="551"/>
      <c r="K26" s="476">
        <f t="shared" si="10"/>
        <v>616009.3144662733</v>
      </c>
      <c r="L26" s="550">
        <f t="shared" si="7"/>
        <v>0</v>
      </c>
      <c r="M26" s="476">
        <f t="shared" si="11"/>
        <v>616009.3144662733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6"/>
        <v/>
      </c>
      <c r="C27" s="472">
        <f>IF(D11="","-",+C26+1)</f>
        <v>2019</v>
      </c>
      <c r="D27" s="479">
        <v>3781801.2675016937</v>
      </c>
      <c r="E27" s="480">
        <v>104197.68888888889</v>
      </c>
      <c r="F27" s="479">
        <v>3677603.5786128049</v>
      </c>
      <c r="G27" s="480">
        <v>601907.67750562495</v>
      </c>
      <c r="H27" s="481">
        <v>601907.67750562495</v>
      </c>
      <c r="I27" s="475">
        <f t="shared" si="0"/>
        <v>0</v>
      </c>
      <c r="J27" s="552"/>
      <c r="K27" s="476">
        <f t="shared" si="10"/>
        <v>601907.67750562495</v>
      </c>
      <c r="L27" s="550">
        <f t="shared" ref="L27" si="12">IF(K27&lt;&gt;0,+G27-K27,0)</f>
        <v>0</v>
      </c>
      <c r="M27" s="476">
        <f t="shared" si="11"/>
        <v>601907.67750562495</v>
      </c>
      <c r="N27" s="478">
        <f t="shared" ref="N27" si="13">IF(M27&lt;&gt;0,+H27-M27,0)</f>
        <v>0</v>
      </c>
      <c r="O27" s="478">
        <f t="shared" ref="O27" si="14">+N27-L27</f>
        <v>0</v>
      </c>
      <c r="P27" s="243"/>
    </row>
    <row r="28" spans="2:16">
      <c r="B28" s="160" t="str">
        <f t="shared" si="6"/>
        <v/>
      </c>
      <c r="C28" s="472">
        <f>IF(D11="","-",+C27+1)</f>
        <v>2020</v>
      </c>
      <c r="D28" s="479">
        <v>3677603.5786128049</v>
      </c>
      <c r="E28" s="480">
        <v>111640.38095238095</v>
      </c>
      <c r="F28" s="479">
        <v>3565963.1976604238</v>
      </c>
      <c r="G28" s="480">
        <v>502810.28780425031</v>
      </c>
      <c r="H28" s="481">
        <v>502810.28780425031</v>
      </c>
      <c r="I28" s="475">
        <f t="shared" si="0"/>
        <v>0</v>
      </c>
      <c r="J28" s="475"/>
      <c r="K28" s="476">
        <f t="shared" si="10"/>
        <v>502810.28780425031</v>
      </c>
      <c r="L28" s="550">
        <f t="shared" ref="L28" si="15">IF(K28&lt;&gt;0,+G28-K28,0)</f>
        <v>0</v>
      </c>
      <c r="M28" s="476">
        <f t="shared" si="11"/>
        <v>502810.28780425031</v>
      </c>
      <c r="N28" s="478">
        <f t="shared" ref="N28" si="16">IF(M28&lt;&gt;0,+H28-M28,0)</f>
        <v>0</v>
      </c>
      <c r="O28" s="478">
        <f t="shared" si="3"/>
        <v>0</v>
      </c>
      <c r="P28" s="243"/>
    </row>
    <row r="29" spans="2:16">
      <c r="B29" s="160" t="str">
        <f t="shared" si="6"/>
        <v>IU</v>
      </c>
      <c r="C29" s="472">
        <f>IF(D11="","-",+C28+1)</f>
        <v>2021</v>
      </c>
      <c r="D29" s="479">
        <v>3552938.4865493132</v>
      </c>
      <c r="E29" s="480">
        <v>109044.09302325582</v>
      </c>
      <c r="F29" s="479">
        <v>3443894.3935260572</v>
      </c>
      <c r="G29" s="480">
        <v>480370.47549623175</v>
      </c>
      <c r="H29" s="481">
        <v>480370.47549623175</v>
      </c>
      <c r="I29" s="475">
        <f t="shared" si="0"/>
        <v>0</v>
      </c>
      <c r="J29" s="475"/>
      <c r="K29" s="476">
        <f t="shared" si="10"/>
        <v>480370.47549623175</v>
      </c>
      <c r="L29" s="550">
        <f t="shared" ref="L29" si="17">IF(K29&lt;&gt;0,+G29-K29,0)</f>
        <v>0</v>
      </c>
      <c r="M29" s="476">
        <f t="shared" si="11"/>
        <v>480370.47549623175</v>
      </c>
      <c r="N29" s="478">
        <f t="shared" si="2"/>
        <v>0</v>
      </c>
      <c r="O29" s="478">
        <f t="shared" si="3"/>
        <v>0</v>
      </c>
      <c r="P29" s="243"/>
    </row>
    <row r="30" spans="2:16">
      <c r="B30" s="160" t="str">
        <f t="shared" si="6"/>
        <v>IU</v>
      </c>
      <c r="C30" s="472">
        <f>IF(D11="","-",+C29+1)</f>
        <v>2022</v>
      </c>
      <c r="D30" s="485">
        <f>IF(F29+SUM(E$17:E29)=D$10,F29,D$10-SUM(E$17:E29))</f>
        <v>3456919.1046371683</v>
      </c>
      <c r="E30" s="484">
        <f>IF(+I14&lt;F29,I14,D30)</f>
        <v>109044.09302325582</v>
      </c>
      <c r="F30" s="485">
        <f t="shared" ref="F30:F48" si="18">+D30-E30</f>
        <v>3347875.0116139124</v>
      </c>
      <c r="G30" s="486">
        <f t="shared" ref="G30:G72" si="19">(D30+F30)/2*I$12+E30</f>
        <v>500511.42961976212</v>
      </c>
      <c r="H30" s="455">
        <f t="shared" ref="H30:H72" si="20">+(D30+F30)/2*I$13+E30</f>
        <v>500511.42961976212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6"/>
        <v/>
      </c>
      <c r="C31" s="472">
        <f>IF(D11="","-",+C30+1)</f>
        <v>2023</v>
      </c>
      <c r="D31" s="485">
        <f>IF(F30+SUM(E$17:E30)=D$10,F30,D$10-SUM(E$17:E30))</f>
        <v>3347875.0116139124</v>
      </c>
      <c r="E31" s="484">
        <f>IF(+I14&lt;F30,I14,D31)</f>
        <v>109044.09302325582</v>
      </c>
      <c r="F31" s="485">
        <f t="shared" si="18"/>
        <v>3238830.9185906565</v>
      </c>
      <c r="G31" s="486">
        <f t="shared" si="19"/>
        <v>487965.21589510259</v>
      </c>
      <c r="H31" s="455">
        <f t="shared" si="20"/>
        <v>487965.21589510259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6"/>
        <v/>
      </c>
      <c r="C32" s="472">
        <f>IF(D11="","-",+C31+1)</f>
        <v>2024</v>
      </c>
      <c r="D32" s="485">
        <f>IF(F31+SUM(E$17:E31)=D$10,F31,D$10-SUM(E$17:E31))</f>
        <v>3238830.9185906565</v>
      </c>
      <c r="E32" s="484">
        <f>IF(+I14&lt;F31,I14,D32)</f>
        <v>109044.09302325582</v>
      </c>
      <c r="F32" s="485">
        <f t="shared" si="18"/>
        <v>3129786.8255674005</v>
      </c>
      <c r="G32" s="486">
        <f t="shared" si="19"/>
        <v>475419.00217044319</v>
      </c>
      <c r="H32" s="455">
        <f t="shared" si="20"/>
        <v>475419.00217044319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6"/>
        <v/>
      </c>
      <c r="C33" s="472">
        <f>IF(D11="","-",+C32+1)</f>
        <v>2025</v>
      </c>
      <c r="D33" s="485">
        <f>IF(F32+SUM(E$17:E32)=D$10,F32,D$10-SUM(E$17:E32))</f>
        <v>3129786.8255674005</v>
      </c>
      <c r="E33" s="484">
        <f>IF(+I14&lt;F32,I14,D33)</f>
        <v>109044.09302325582</v>
      </c>
      <c r="F33" s="485">
        <f t="shared" si="18"/>
        <v>3020742.7325441446</v>
      </c>
      <c r="G33" s="486">
        <f t="shared" si="19"/>
        <v>462872.7884457836</v>
      </c>
      <c r="H33" s="455">
        <f t="shared" si="20"/>
        <v>462872.7884457836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6"/>
        <v/>
      </c>
      <c r="C34" s="472">
        <f>IF(D11="","-",+C33+1)</f>
        <v>2026</v>
      </c>
      <c r="D34" s="485">
        <f>IF(F33+SUM(E$17:E33)=D$10,F33,D$10-SUM(E$17:E33))</f>
        <v>3020742.7325441446</v>
      </c>
      <c r="E34" s="484">
        <f>IF(+I14&lt;F33,I14,D34)</f>
        <v>109044.09302325582</v>
      </c>
      <c r="F34" s="485">
        <f t="shared" si="18"/>
        <v>2911698.6395208887</v>
      </c>
      <c r="G34" s="486">
        <f t="shared" si="19"/>
        <v>450326.5747211242</v>
      </c>
      <c r="H34" s="455">
        <f t="shared" si="20"/>
        <v>450326.5747211242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6"/>
        <v/>
      </c>
      <c r="C35" s="472">
        <f>IF(D11="","-",+C34+1)</f>
        <v>2027</v>
      </c>
      <c r="D35" s="485">
        <f>IF(F34+SUM(E$17:E34)=D$10,F34,D$10-SUM(E$17:E34))</f>
        <v>2911698.6395208887</v>
      </c>
      <c r="E35" s="484">
        <f>IF(+I14&lt;F34,I14,D35)</f>
        <v>109044.09302325582</v>
      </c>
      <c r="F35" s="485">
        <f t="shared" si="18"/>
        <v>2802654.5464976327</v>
      </c>
      <c r="G35" s="486">
        <f t="shared" si="19"/>
        <v>437780.36099646467</v>
      </c>
      <c r="H35" s="455">
        <f t="shared" si="20"/>
        <v>437780.36099646467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6"/>
        <v/>
      </c>
      <c r="C36" s="472">
        <f>IF(D11="","-",+C35+1)</f>
        <v>2028</v>
      </c>
      <c r="D36" s="485">
        <f>IF(F35+SUM(E$17:E35)=D$10,F35,D$10-SUM(E$17:E35))</f>
        <v>2802654.5464976327</v>
      </c>
      <c r="E36" s="484">
        <f>IF(+I14&lt;F35,I14,D36)</f>
        <v>109044.09302325582</v>
      </c>
      <c r="F36" s="485">
        <f t="shared" si="18"/>
        <v>2693610.4534743768</v>
      </c>
      <c r="G36" s="486">
        <f t="shared" si="19"/>
        <v>425234.14727180527</v>
      </c>
      <c r="H36" s="455">
        <f t="shared" si="20"/>
        <v>425234.14727180527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6"/>
        <v/>
      </c>
      <c r="C37" s="472">
        <f>IF(D11="","-",+C36+1)</f>
        <v>2029</v>
      </c>
      <c r="D37" s="485">
        <f>IF(F36+SUM(E$17:E36)=D$10,F36,D$10-SUM(E$17:E36))</f>
        <v>2693610.4534743768</v>
      </c>
      <c r="E37" s="484">
        <f>IF(+I14&lt;F36,I14,D37)</f>
        <v>109044.09302325582</v>
      </c>
      <c r="F37" s="485">
        <f t="shared" si="18"/>
        <v>2584566.3604511209</v>
      </c>
      <c r="G37" s="486">
        <f t="shared" si="19"/>
        <v>412687.93354714575</v>
      </c>
      <c r="H37" s="455">
        <f t="shared" si="20"/>
        <v>412687.93354714575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6"/>
        <v/>
      </c>
      <c r="C38" s="472">
        <f>IF(D11="","-",+C37+1)</f>
        <v>2030</v>
      </c>
      <c r="D38" s="485">
        <f>IF(F37+SUM(E$17:E37)=D$10,F37,D$10-SUM(E$17:E37))</f>
        <v>2584566.3604511209</v>
      </c>
      <c r="E38" s="484">
        <f>IF(+I14&lt;F37,I14,D38)</f>
        <v>109044.09302325582</v>
      </c>
      <c r="F38" s="485">
        <f t="shared" si="18"/>
        <v>2475522.267427865</v>
      </c>
      <c r="G38" s="486">
        <f t="shared" si="19"/>
        <v>400141.71982248634</v>
      </c>
      <c r="H38" s="455">
        <f t="shared" si="20"/>
        <v>400141.71982248634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6"/>
        <v/>
      </c>
      <c r="C39" s="472">
        <f>IF(D11="","-",+C38+1)</f>
        <v>2031</v>
      </c>
      <c r="D39" s="485">
        <f>IF(F38+SUM(E$17:E38)=D$10,F38,D$10-SUM(E$17:E38))</f>
        <v>2475522.267427865</v>
      </c>
      <c r="E39" s="484">
        <f>IF(+I14&lt;F38,I14,D39)</f>
        <v>109044.09302325582</v>
      </c>
      <c r="F39" s="485">
        <f t="shared" si="18"/>
        <v>2366478.174404609</v>
      </c>
      <c r="G39" s="486">
        <f t="shared" si="19"/>
        <v>387595.50609782682</v>
      </c>
      <c r="H39" s="455">
        <f t="shared" si="20"/>
        <v>387595.50609782682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6"/>
        <v/>
      </c>
      <c r="C40" s="472">
        <f>IF(D11="","-",+C39+1)</f>
        <v>2032</v>
      </c>
      <c r="D40" s="485">
        <f>IF(F39+SUM(E$17:E39)=D$10,F39,D$10-SUM(E$17:E39))</f>
        <v>2366478.174404609</v>
      </c>
      <c r="E40" s="484">
        <f>IF(+I14&lt;F39,I14,D40)</f>
        <v>109044.09302325582</v>
      </c>
      <c r="F40" s="485">
        <f t="shared" si="18"/>
        <v>2257434.0813813531</v>
      </c>
      <c r="G40" s="486">
        <f t="shared" si="19"/>
        <v>375049.29237316735</v>
      </c>
      <c r="H40" s="455">
        <f t="shared" si="20"/>
        <v>375049.29237316735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6"/>
        <v/>
      </c>
      <c r="C41" s="472">
        <f>IF(D11="","-",+C40+1)</f>
        <v>2033</v>
      </c>
      <c r="D41" s="485">
        <f>IF(F40+SUM(E$17:E40)=D$10,F40,D$10-SUM(E$17:E40))</f>
        <v>2257434.0813813531</v>
      </c>
      <c r="E41" s="484">
        <f>IF(+I14&lt;F40,I14,D41)</f>
        <v>109044.09302325582</v>
      </c>
      <c r="F41" s="485">
        <f t="shared" si="18"/>
        <v>2148389.9883580972</v>
      </c>
      <c r="G41" s="486">
        <f t="shared" si="19"/>
        <v>362503.07864850783</v>
      </c>
      <c r="H41" s="455">
        <f t="shared" si="20"/>
        <v>362503.07864850783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6"/>
        <v/>
      </c>
      <c r="C42" s="472">
        <f>IF(D11="","-",+C41+1)</f>
        <v>2034</v>
      </c>
      <c r="D42" s="485">
        <f>IF(F41+SUM(E$17:E41)=D$10,F41,D$10-SUM(E$17:E41))</f>
        <v>2148389.9883580972</v>
      </c>
      <c r="E42" s="484">
        <f>IF(+I14&lt;F41,I14,D42)</f>
        <v>109044.09302325582</v>
      </c>
      <c r="F42" s="485">
        <f t="shared" si="18"/>
        <v>2039345.8953348412</v>
      </c>
      <c r="G42" s="486">
        <f t="shared" si="19"/>
        <v>349956.86492384842</v>
      </c>
      <c r="H42" s="455">
        <f t="shared" si="20"/>
        <v>349956.86492384842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6"/>
        <v/>
      </c>
      <c r="C43" s="472">
        <f>IF(D11="","-",+C42+1)</f>
        <v>2035</v>
      </c>
      <c r="D43" s="485">
        <f>IF(F42+SUM(E$17:E42)=D$10,F42,D$10-SUM(E$17:E42))</f>
        <v>2039345.8953348412</v>
      </c>
      <c r="E43" s="484">
        <f>IF(+I14&lt;F42,I14,D43)</f>
        <v>109044.09302325582</v>
      </c>
      <c r="F43" s="485">
        <f t="shared" si="18"/>
        <v>1930301.8023115853</v>
      </c>
      <c r="G43" s="486">
        <f t="shared" si="19"/>
        <v>337410.6511991889</v>
      </c>
      <c r="H43" s="455">
        <f t="shared" si="20"/>
        <v>337410.6511991889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6"/>
        <v/>
      </c>
      <c r="C44" s="472">
        <f>IF(D11="","-",+C43+1)</f>
        <v>2036</v>
      </c>
      <c r="D44" s="485">
        <f>IF(F43+SUM(E$17:E43)=D$10,F43,D$10-SUM(E$17:E43))</f>
        <v>1930301.8023115853</v>
      </c>
      <c r="E44" s="484">
        <f>IF(+I14&lt;F43,I14,D44)</f>
        <v>109044.09302325582</v>
      </c>
      <c r="F44" s="485">
        <f t="shared" si="18"/>
        <v>1821257.7092883294</v>
      </c>
      <c r="G44" s="486">
        <f t="shared" si="19"/>
        <v>324864.43747452949</v>
      </c>
      <c r="H44" s="455">
        <f t="shared" si="20"/>
        <v>324864.43747452949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6"/>
        <v/>
      </c>
      <c r="C45" s="472">
        <f>IF(D11="","-",+C44+1)</f>
        <v>2037</v>
      </c>
      <c r="D45" s="485">
        <f>IF(F44+SUM(E$17:E44)=D$10,F44,D$10-SUM(E$17:E44))</f>
        <v>1821257.7092883294</v>
      </c>
      <c r="E45" s="484">
        <f>IF(+I14&lt;F44,I14,D45)</f>
        <v>109044.09302325582</v>
      </c>
      <c r="F45" s="485">
        <f t="shared" si="18"/>
        <v>1712213.6162650734</v>
      </c>
      <c r="G45" s="486">
        <f t="shared" si="19"/>
        <v>312318.22374986997</v>
      </c>
      <c r="H45" s="455">
        <f t="shared" si="20"/>
        <v>312318.22374986997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6"/>
        <v/>
      </c>
      <c r="C46" s="472">
        <f>IF(D11="","-",+C45+1)</f>
        <v>2038</v>
      </c>
      <c r="D46" s="485">
        <f>IF(F45+SUM(E$17:E45)=D$10,F45,D$10-SUM(E$17:E45))</f>
        <v>1712213.6162650734</v>
      </c>
      <c r="E46" s="484">
        <f>IF(+I14&lt;F45,I14,D46)</f>
        <v>109044.09302325582</v>
      </c>
      <c r="F46" s="485">
        <f t="shared" si="18"/>
        <v>1603169.5232418175</v>
      </c>
      <c r="G46" s="486">
        <f t="shared" si="19"/>
        <v>299772.0100252105</v>
      </c>
      <c r="H46" s="455">
        <f t="shared" si="20"/>
        <v>299772.0100252105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6"/>
        <v/>
      </c>
      <c r="C47" s="472">
        <f>IF(D11="","-",+C46+1)</f>
        <v>2039</v>
      </c>
      <c r="D47" s="485">
        <f>IF(F46+SUM(E$17:E46)=D$10,F46,D$10-SUM(E$17:E46))</f>
        <v>1603169.5232418175</v>
      </c>
      <c r="E47" s="484">
        <f>IF(+I14&lt;F46,I14,D47)</f>
        <v>109044.09302325582</v>
      </c>
      <c r="F47" s="485">
        <f t="shared" si="18"/>
        <v>1494125.4302185616</v>
      </c>
      <c r="G47" s="486">
        <f t="shared" si="19"/>
        <v>287225.79630055104</v>
      </c>
      <c r="H47" s="455">
        <f t="shared" si="20"/>
        <v>287225.79630055104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6"/>
        <v/>
      </c>
      <c r="C48" s="472">
        <f>IF(D11="","-",+C47+1)</f>
        <v>2040</v>
      </c>
      <c r="D48" s="485">
        <f>IF(F47+SUM(E$17:E47)=D$10,F47,D$10-SUM(E$17:E47))</f>
        <v>1494125.4302185616</v>
      </c>
      <c r="E48" s="484">
        <f>IF(+I14&lt;F47,I14,D48)</f>
        <v>109044.09302325582</v>
      </c>
      <c r="F48" s="485">
        <f t="shared" si="18"/>
        <v>1385081.3371953056</v>
      </c>
      <c r="G48" s="486">
        <f t="shared" si="19"/>
        <v>274679.58257589152</v>
      </c>
      <c r="H48" s="455">
        <f t="shared" si="20"/>
        <v>274679.58257589152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6"/>
        <v/>
      </c>
      <c r="C49" s="472">
        <f>IF(D11="","-",+C48+1)</f>
        <v>2041</v>
      </c>
      <c r="D49" s="485">
        <f>IF(F48+SUM(E$17:E48)=D$10,F48,D$10-SUM(E$17:E48))</f>
        <v>1385081.3371953056</v>
      </c>
      <c r="E49" s="484">
        <f>IF(+I14&lt;F48,I14,D49)</f>
        <v>109044.09302325582</v>
      </c>
      <c r="F49" s="485">
        <f t="shared" ref="F49:F72" si="21">+D49-E49</f>
        <v>1276037.2441720497</v>
      </c>
      <c r="G49" s="486">
        <f t="shared" si="19"/>
        <v>262133.36885123208</v>
      </c>
      <c r="H49" s="455">
        <f t="shared" si="20"/>
        <v>262133.36885123208</v>
      </c>
      <c r="I49" s="475">
        <f t="shared" ref="I49:I72" si="22">H49-G49</f>
        <v>0</v>
      </c>
      <c r="J49" s="475"/>
      <c r="K49" s="487"/>
      <c r="L49" s="478">
        <f t="shared" ref="L49:L72" si="23">IF(K49&lt;&gt;0,+G49-K49,0)</f>
        <v>0</v>
      </c>
      <c r="M49" s="487"/>
      <c r="N49" s="478">
        <f t="shared" ref="N49:N72" si="24">IF(M49&lt;&gt;0,+H49-M49,0)</f>
        <v>0</v>
      </c>
      <c r="O49" s="478">
        <f t="shared" ref="O49:O72" si="25">+N49-L49</f>
        <v>0</v>
      </c>
      <c r="P49" s="243"/>
    </row>
    <row r="50" spans="2:16">
      <c r="B50" s="160" t="str">
        <f t="shared" si="6"/>
        <v/>
      </c>
      <c r="C50" s="472">
        <f>IF(D11="","-",+C49+1)</f>
        <v>2042</v>
      </c>
      <c r="D50" s="485">
        <f>IF(F49+SUM(E$17:E49)=D$10,F49,D$10-SUM(E$17:E49))</f>
        <v>1276037.2441720497</v>
      </c>
      <c r="E50" s="484">
        <f>IF(+I14&lt;F49,I14,D50)</f>
        <v>109044.09302325582</v>
      </c>
      <c r="F50" s="485">
        <f t="shared" si="21"/>
        <v>1166993.1511487938</v>
      </c>
      <c r="G50" s="486">
        <f t="shared" si="19"/>
        <v>249587.15512657262</v>
      </c>
      <c r="H50" s="455">
        <f t="shared" si="20"/>
        <v>249587.15512657262</v>
      </c>
      <c r="I50" s="475">
        <f t="shared" si="22"/>
        <v>0</v>
      </c>
      <c r="J50" s="475"/>
      <c r="K50" s="487"/>
      <c r="L50" s="478">
        <f t="shared" si="23"/>
        <v>0</v>
      </c>
      <c r="M50" s="487"/>
      <c r="N50" s="478">
        <f t="shared" si="24"/>
        <v>0</v>
      </c>
      <c r="O50" s="478">
        <f t="shared" si="25"/>
        <v>0</v>
      </c>
      <c r="P50" s="243"/>
    </row>
    <row r="51" spans="2:16">
      <c r="B51" s="160" t="str">
        <f t="shared" si="6"/>
        <v/>
      </c>
      <c r="C51" s="472">
        <f>IF(D11="","-",+C50+1)</f>
        <v>2043</v>
      </c>
      <c r="D51" s="485">
        <f>IF(F50+SUM(E$17:E50)=D$10,F50,D$10-SUM(E$17:E50))</f>
        <v>1166993.1511487938</v>
      </c>
      <c r="E51" s="484">
        <f>IF(+I14&lt;F50,I14,D51)</f>
        <v>109044.09302325582</v>
      </c>
      <c r="F51" s="485">
        <f t="shared" si="21"/>
        <v>1057949.0581255378</v>
      </c>
      <c r="G51" s="486">
        <f t="shared" si="19"/>
        <v>237040.94140191312</v>
      </c>
      <c r="H51" s="455">
        <f t="shared" si="20"/>
        <v>237040.94140191312</v>
      </c>
      <c r="I51" s="475">
        <f t="shared" si="22"/>
        <v>0</v>
      </c>
      <c r="J51" s="475"/>
      <c r="K51" s="487"/>
      <c r="L51" s="478">
        <f t="shared" si="23"/>
        <v>0</v>
      </c>
      <c r="M51" s="487"/>
      <c r="N51" s="478">
        <f t="shared" si="24"/>
        <v>0</v>
      </c>
      <c r="O51" s="478">
        <f t="shared" si="25"/>
        <v>0</v>
      </c>
      <c r="P51" s="243"/>
    </row>
    <row r="52" spans="2:16">
      <c r="B52" s="160" t="str">
        <f t="shared" si="6"/>
        <v/>
      </c>
      <c r="C52" s="472">
        <f>IF(D11="","-",+C51+1)</f>
        <v>2044</v>
      </c>
      <c r="D52" s="485">
        <f>IF(F51+SUM(E$17:E51)=D$10,F51,D$10-SUM(E$17:E51))</f>
        <v>1057949.0581255378</v>
      </c>
      <c r="E52" s="484">
        <f>IF(+I14&lt;F51,I14,D52)</f>
        <v>109044.09302325582</v>
      </c>
      <c r="F52" s="485">
        <f t="shared" si="21"/>
        <v>948904.965102282</v>
      </c>
      <c r="G52" s="486">
        <f t="shared" si="19"/>
        <v>224494.72767725366</v>
      </c>
      <c r="H52" s="455">
        <f t="shared" si="20"/>
        <v>224494.72767725366</v>
      </c>
      <c r="I52" s="475">
        <f t="shared" si="22"/>
        <v>0</v>
      </c>
      <c r="J52" s="475"/>
      <c r="K52" s="487"/>
      <c r="L52" s="478">
        <f t="shared" si="23"/>
        <v>0</v>
      </c>
      <c r="M52" s="487"/>
      <c r="N52" s="478">
        <f t="shared" si="24"/>
        <v>0</v>
      </c>
      <c r="O52" s="478">
        <f t="shared" si="25"/>
        <v>0</v>
      </c>
      <c r="P52" s="243"/>
    </row>
    <row r="53" spans="2:16">
      <c r="B53" s="160" t="str">
        <f t="shared" si="6"/>
        <v/>
      </c>
      <c r="C53" s="472">
        <f>IF(D11="","-",+C52+1)</f>
        <v>2045</v>
      </c>
      <c r="D53" s="485">
        <f>IF(F52+SUM(E$17:E52)=D$10,F52,D$10-SUM(E$17:E52))</f>
        <v>948904.965102282</v>
      </c>
      <c r="E53" s="484">
        <f>IF(+I14&lt;F52,I14,D53)</f>
        <v>109044.09302325582</v>
      </c>
      <c r="F53" s="485">
        <f t="shared" si="21"/>
        <v>839860.87207902619</v>
      </c>
      <c r="G53" s="486">
        <f t="shared" si="19"/>
        <v>211948.51395259422</v>
      </c>
      <c r="H53" s="455">
        <f t="shared" si="20"/>
        <v>211948.51395259422</v>
      </c>
      <c r="I53" s="475">
        <f t="shared" si="22"/>
        <v>0</v>
      </c>
      <c r="J53" s="475"/>
      <c r="K53" s="487"/>
      <c r="L53" s="478">
        <f t="shared" si="23"/>
        <v>0</v>
      </c>
      <c r="M53" s="487"/>
      <c r="N53" s="478">
        <f t="shared" si="24"/>
        <v>0</v>
      </c>
      <c r="O53" s="478">
        <f t="shared" si="25"/>
        <v>0</v>
      </c>
      <c r="P53" s="243"/>
    </row>
    <row r="54" spans="2:16">
      <c r="B54" s="160" t="str">
        <f t="shared" si="6"/>
        <v/>
      </c>
      <c r="C54" s="472">
        <f>IF(D11="","-",+C53+1)</f>
        <v>2046</v>
      </c>
      <c r="D54" s="485">
        <f>IF(F53+SUM(E$17:E53)=D$10,F53,D$10-SUM(E$17:E53))</f>
        <v>839860.87207902619</v>
      </c>
      <c r="E54" s="484">
        <f>IF(+I14&lt;F53,I14,D54)</f>
        <v>109044.09302325582</v>
      </c>
      <c r="F54" s="485">
        <f t="shared" si="21"/>
        <v>730816.77905577037</v>
      </c>
      <c r="G54" s="486">
        <f t="shared" si="19"/>
        <v>199402.30022793473</v>
      </c>
      <c r="H54" s="455">
        <f t="shared" si="20"/>
        <v>199402.30022793473</v>
      </c>
      <c r="I54" s="475">
        <f t="shared" si="22"/>
        <v>0</v>
      </c>
      <c r="J54" s="475"/>
      <c r="K54" s="487"/>
      <c r="L54" s="478">
        <f t="shared" si="23"/>
        <v>0</v>
      </c>
      <c r="M54" s="487"/>
      <c r="N54" s="478">
        <f t="shared" si="24"/>
        <v>0</v>
      </c>
      <c r="O54" s="478">
        <f t="shared" si="25"/>
        <v>0</v>
      </c>
      <c r="P54" s="243"/>
    </row>
    <row r="55" spans="2:16">
      <c r="B55" s="160" t="str">
        <f t="shared" si="6"/>
        <v/>
      </c>
      <c r="C55" s="472">
        <f>IF(D11="","-",+C54+1)</f>
        <v>2047</v>
      </c>
      <c r="D55" s="485">
        <f>IF(F54+SUM(E$17:E54)=D$10,F54,D$10-SUM(E$17:E54))</f>
        <v>730816.77905577037</v>
      </c>
      <c r="E55" s="484">
        <f>IF(+I14&lt;F54,I14,D55)</f>
        <v>109044.09302325582</v>
      </c>
      <c r="F55" s="485">
        <f t="shared" si="21"/>
        <v>621772.68603251455</v>
      </c>
      <c r="G55" s="486">
        <f t="shared" si="19"/>
        <v>186856.08650327532</v>
      </c>
      <c r="H55" s="455">
        <f t="shared" si="20"/>
        <v>186856.08650327532</v>
      </c>
      <c r="I55" s="475">
        <f t="shared" si="22"/>
        <v>0</v>
      </c>
      <c r="J55" s="475"/>
      <c r="K55" s="487"/>
      <c r="L55" s="478">
        <f t="shared" si="23"/>
        <v>0</v>
      </c>
      <c r="M55" s="487"/>
      <c r="N55" s="478">
        <f t="shared" si="24"/>
        <v>0</v>
      </c>
      <c r="O55" s="478">
        <f t="shared" si="25"/>
        <v>0</v>
      </c>
      <c r="P55" s="243"/>
    </row>
    <row r="56" spans="2:16">
      <c r="B56" s="160" t="str">
        <f t="shared" si="6"/>
        <v/>
      </c>
      <c r="C56" s="472">
        <f>IF(D11="","-",+C55+1)</f>
        <v>2048</v>
      </c>
      <c r="D56" s="485">
        <f>IF(F55+SUM(E$17:E55)=D$10,F55,D$10-SUM(E$17:E55))</f>
        <v>621772.68603251455</v>
      </c>
      <c r="E56" s="484">
        <f>IF(+I14&lt;F55,I14,D56)</f>
        <v>109044.09302325582</v>
      </c>
      <c r="F56" s="485">
        <f t="shared" si="21"/>
        <v>512728.59300925874</v>
      </c>
      <c r="G56" s="486">
        <f t="shared" si="19"/>
        <v>174309.87277861583</v>
      </c>
      <c r="H56" s="455">
        <f t="shared" si="20"/>
        <v>174309.87277861583</v>
      </c>
      <c r="I56" s="475">
        <f t="shared" si="22"/>
        <v>0</v>
      </c>
      <c r="J56" s="475"/>
      <c r="K56" s="487"/>
      <c r="L56" s="478">
        <f t="shared" si="23"/>
        <v>0</v>
      </c>
      <c r="M56" s="487"/>
      <c r="N56" s="478">
        <f t="shared" si="24"/>
        <v>0</v>
      </c>
      <c r="O56" s="478">
        <f t="shared" si="25"/>
        <v>0</v>
      </c>
      <c r="P56" s="243"/>
    </row>
    <row r="57" spans="2:16">
      <c r="B57" s="160" t="str">
        <f t="shared" si="6"/>
        <v/>
      </c>
      <c r="C57" s="472">
        <f>IF(D11="","-",+C56+1)</f>
        <v>2049</v>
      </c>
      <c r="D57" s="485">
        <f>IF(F56+SUM(E$17:E56)=D$10,F56,D$10-SUM(E$17:E56))</f>
        <v>512728.59300925874</v>
      </c>
      <c r="E57" s="484">
        <f>IF(+I14&lt;F56,I14,D57)</f>
        <v>109044.09302325582</v>
      </c>
      <c r="F57" s="485">
        <f t="shared" si="21"/>
        <v>403684.49998600292</v>
      </c>
      <c r="G57" s="486">
        <f t="shared" si="19"/>
        <v>161763.65905395639</v>
      </c>
      <c r="H57" s="455">
        <f t="shared" si="20"/>
        <v>161763.65905395639</v>
      </c>
      <c r="I57" s="475">
        <f t="shared" si="22"/>
        <v>0</v>
      </c>
      <c r="J57" s="475"/>
      <c r="K57" s="487"/>
      <c r="L57" s="478">
        <f t="shared" si="23"/>
        <v>0</v>
      </c>
      <c r="M57" s="487"/>
      <c r="N57" s="478">
        <f t="shared" si="24"/>
        <v>0</v>
      </c>
      <c r="O57" s="478">
        <f t="shared" si="25"/>
        <v>0</v>
      </c>
      <c r="P57" s="243"/>
    </row>
    <row r="58" spans="2:16">
      <c r="B58" s="160" t="str">
        <f t="shared" si="6"/>
        <v/>
      </c>
      <c r="C58" s="472">
        <f>IF(D11="","-",+C57+1)</f>
        <v>2050</v>
      </c>
      <c r="D58" s="485">
        <f>IF(F57+SUM(E$17:E57)=D$10,F57,D$10-SUM(E$17:E57))</f>
        <v>403684.49998600292</v>
      </c>
      <c r="E58" s="484">
        <f>IF(+I14&lt;F57,I14,D58)</f>
        <v>109044.09302325582</v>
      </c>
      <c r="F58" s="485">
        <f t="shared" si="21"/>
        <v>294640.4069627471</v>
      </c>
      <c r="G58" s="486">
        <f t="shared" si="19"/>
        <v>149217.44532929693</v>
      </c>
      <c r="H58" s="455">
        <f t="shared" si="20"/>
        <v>149217.44532929693</v>
      </c>
      <c r="I58" s="475">
        <f t="shared" si="22"/>
        <v>0</v>
      </c>
      <c r="J58" s="475"/>
      <c r="K58" s="487"/>
      <c r="L58" s="478">
        <f t="shared" si="23"/>
        <v>0</v>
      </c>
      <c r="M58" s="487"/>
      <c r="N58" s="478">
        <f t="shared" si="24"/>
        <v>0</v>
      </c>
      <c r="O58" s="478">
        <f t="shared" si="25"/>
        <v>0</v>
      </c>
      <c r="P58" s="243"/>
    </row>
    <row r="59" spans="2:16">
      <c r="B59" s="160" t="str">
        <f t="shared" si="6"/>
        <v/>
      </c>
      <c r="C59" s="472">
        <f>IF(D11="","-",+C58+1)</f>
        <v>2051</v>
      </c>
      <c r="D59" s="485">
        <f>IF(F58+SUM(E$17:E58)=D$10,F58,D$10-SUM(E$17:E58))</f>
        <v>294640.4069627471</v>
      </c>
      <c r="E59" s="484">
        <f>IF(+I14&lt;F58,I14,D59)</f>
        <v>109044.09302325582</v>
      </c>
      <c r="F59" s="485">
        <f t="shared" si="21"/>
        <v>185596.31393949129</v>
      </c>
      <c r="G59" s="486">
        <f t="shared" si="19"/>
        <v>136671.23160463746</v>
      </c>
      <c r="H59" s="455">
        <f t="shared" si="20"/>
        <v>136671.23160463746</v>
      </c>
      <c r="I59" s="475">
        <f t="shared" si="22"/>
        <v>0</v>
      </c>
      <c r="J59" s="475"/>
      <c r="K59" s="487"/>
      <c r="L59" s="478">
        <f t="shared" si="23"/>
        <v>0</v>
      </c>
      <c r="M59" s="487"/>
      <c r="N59" s="478">
        <f t="shared" si="24"/>
        <v>0</v>
      </c>
      <c r="O59" s="478">
        <f t="shared" si="25"/>
        <v>0</v>
      </c>
      <c r="P59" s="243"/>
    </row>
    <row r="60" spans="2:16">
      <c r="B60" s="160" t="str">
        <f t="shared" si="6"/>
        <v/>
      </c>
      <c r="C60" s="472">
        <f>IF(D11="","-",+C59+1)</f>
        <v>2052</v>
      </c>
      <c r="D60" s="485">
        <f>IF(F59+SUM(E$17:E59)=D$10,F59,D$10-SUM(E$17:E59))</f>
        <v>185596.31393949129</v>
      </c>
      <c r="E60" s="484">
        <f>IF(+I14&lt;F59,I14,D60)</f>
        <v>109044.09302325582</v>
      </c>
      <c r="F60" s="485">
        <f t="shared" si="21"/>
        <v>76552.22091623547</v>
      </c>
      <c r="G60" s="486">
        <f t="shared" si="19"/>
        <v>124125.017879978</v>
      </c>
      <c r="H60" s="455">
        <f t="shared" si="20"/>
        <v>124125.017879978</v>
      </c>
      <c r="I60" s="475">
        <f t="shared" si="22"/>
        <v>0</v>
      </c>
      <c r="J60" s="475"/>
      <c r="K60" s="487"/>
      <c r="L60" s="478">
        <f t="shared" si="23"/>
        <v>0</v>
      </c>
      <c r="M60" s="487"/>
      <c r="N60" s="478">
        <f t="shared" si="24"/>
        <v>0</v>
      </c>
      <c r="O60" s="478">
        <f t="shared" si="25"/>
        <v>0</v>
      </c>
      <c r="P60" s="243"/>
    </row>
    <row r="61" spans="2:16">
      <c r="B61" s="160" t="str">
        <f t="shared" si="6"/>
        <v/>
      </c>
      <c r="C61" s="472">
        <f>IF(D11="","-",+C60+1)</f>
        <v>2053</v>
      </c>
      <c r="D61" s="485">
        <f>IF(F60+SUM(E$17:E60)=D$10,F60,D$10-SUM(E$17:E60))</f>
        <v>76552.22091623547</v>
      </c>
      <c r="E61" s="484">
        <f>IF(+I14&lt;F60,I14,D61)</f>
        <v>76552.22091623547</v>
      </c>
      <c r="F61" s="485">
        <f t="shared" si="21"/>
        <v>0</v>
      </c>
      <c r="G61" s="486">
        <f t="shared" si="19"/>
        <v>80956.129913431694</v>
      </c>
      <c r="H61" s="455">
        <f t="shared" si="20"/>
        <v>80956.129913431694</v>
      </c>
      <c r="I61" s="475">
        <f t="shared" si="22"/>
        <v>0</v>
      </c>
      <c r="J61" s="475"/>
      <c r="K61" s="487"/>
      <c r="L61" s="478">
        <f t="shared" si="23"/>
        <v>0</v>
      </c>
      <c r="M61" s="487"/>
      <c r="N61" s="478">
        <f t="shared" si="24"/>
        <v>0</v>
      </c>
      <c r="O61" s="478">
        <f t="shared" si="25"/>
        <v>0</v>
      </c>
      <c r="P61" s="243"/>
    </row>
    <row r="62" spans="2:16">
      <c r="B62" s="160" t="str">
        <f t="shared" si="6"/>
        <v/>
      </c>
      <c r="C62" s="472">
        <f>IF(D11="","-",+C61+1)</f>
        <v>2054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1"/>
        <v>0</v>
      </c>
      <c r="G62" s="486">
        <f t="shared" si="19"/>
        <v>0</v>
      </c>
      <c r="H62" s="455">
        <f t="shared" si="20"/>
        <v>0</v>
      </c>
      <c r="I62" s="475">
        <f t="shared" si="22"/>
        <v>0</v>
      </c>
      <c r="J62" s="475"/>
      <c r="K62" s="487"/>
      <c r="L62" s="478">
        <f t="shared" si="23"/>
        <v>0</v>
      </c>
      <c r="M62" s="487"/>
      <c r="N62" s="478">
        <f t="shared" si="24"/>
        <v>0</v>
      </c>
      <c r="O62" s="478">
        <f t="shared" si="25"/>
        <v>0</v>
      </c>
      <c r="P62" s="243"/>
    </row>
    <row r="63" spans="2:16">
      <c r="B63" s="160" t="str">
        <f t="shared" si="6"/>
        <v/>
      </c>
      <c r="C63" s="472">
        <f>IF(D11="","-",+C62+1)</f>
        <v>2055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1"/>
        <v>0</v>
      </c>
      <c r="G63" s="486">
        <f t="shared" si="19"/>
        <v>0</v>
      </c>
      <c r="H63" s="455">
        <f t="shared" si="20"/>
        <v>0</v>
      </c>
      <c r="I63" s="475">
        <f t="shared" si="22"/>
        <v>0</v>
      </c>
      <c r="J63" s="475"/>
      <c r="K63" s="487"/>
      <c r="L63" s="478">
        <f t="shared" si="23"/>
        <v>0</v>
      </c>
      <c r="M63" s="487"/>
      <c r="N63" s="478">
        <f t="shared" si="24"/>
        <v>0</v>
      </c>
      <c r="O63" s="478">
        <f t="shared" si="25"/>
        <v>0</v>
      </c>
      <c r="P63" s="243"/>
    </row>
    <row r="64" spans="2:16">
      <c r="B64" s="160" t="str">
        <f t="shared" si="6"/>
        <v/>
      </c>
      <c r="C64" s="472">
        <f>IF(D11="","-",+C63+1)</f>
        <v>2056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1"/>
        <v>0</v>
      </c>
      <c r="G64" s="486">
        <f t="shared" si="19"/>
        <v>0</v>
      </c>
      <c r="H64" s="455">
        <f t="shared" si="20"/>
        <v>0</v>
      </c>
      <c r="I64" s="475">
        <f t="shared" si="22"/>
        <v>0</v>
      </c>
      <c r="J64" s="475"/>
      <c r="K64" s="487"/>
      <c r="L64" s="478">
        <f t="shared" si="23"/>
        <v>0</v>
      </c>
      <c r="M64" s="487"/>
      <c r="N64" s="478">
        <f t="shared" si="24"/>
        <v>0</v>
      </c>
      <c r="O64" s="478">
        <f t="shared" si="25"/>
        <v>0</v>
      </c>
      <c r="P64" s="243"/>
    </row>
    <row r="65" spans="2:16">
      <c r="B65" s="160" t="str">
        <f t="shared" si="6"/>
        <v/>
      </c>
      <c r="C65" s="472">
        <f>IF(D11="","-",+C64+1)</f>
        <v>2057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1"/>
        <v>0</v>
      </c>
      <c r="G65" s="486">
        <f t="shared" si="19"/>
        <v>0</v>
      </c>
      <c r="H65" s="455">
        <f t="shared" si="20"/>
        <v>0</v>
      </c>
      <c r="I65" s="475">
        <f t="shared" si="22"/>
        <v>0</v>
      </c>
      <c r="J65" s="475"/>
      <c r="K65" s="487"/>
      <c r="L65" s="478">
        <f t="shared" si="23"/>
        <v>0</v>
      </c>
      <c r="M65" s="487"/>
      <c r="N65" s="478">
        <f t="shared" si="24"/>
        <v>0</v>
      </c>
      <c r="O65" s="478">
        <f t="shared" si="25"/>
        <v>0</v>
      </c>
      <c r="P65" s="243"/>
    </row>
    <row r="66" spans="2:16">
      <c r="B66" s="160" t="str">
        <f t="shared" si="6"/>
        <v/>
      </c>
      <c r="C66" s="472">
        <f>IF(D11="","-",+C65+1)</f>
        <v>2058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1"/>
        <v>0</v>
      </c>
      <c r="G66" s="486">
        <f t="shared" si="19"/>
        <v>0</v>
      </c>
      <c r="H66" s="455">
        <f t="shared" si="20"/>
        <v>0</v>
      </c>
      <c r="I66" s="475">
        <f t="shared" si="22"/>
        <v>0</v>
      </c>
      <c r="J66" s="475"/>
      <c r="K66" s="487"/>
      <c r="L66" s="478">
        <f t="shared" si="23"/>
        <v>0</v>
      </c>
      <c r="M66" s="487"/>
      <c r="N66" s="478">
        <f t="shared" si="24"/>
        <v>0</v>
      </c>
      <c r="O66" s="478">
        <f t="shared" si="25"/>
        <v>0</v>
      </c>
      <c r="P66" s="243"/>
    </row>
    <row r="67" spans="2:16">
      <c r="B67" s="160" t="str">
        <f t="shared" si="6"/>
        <v/>
      </c>
      <c r="C67" s="472">
        <f>IF(D11="","-",+C66+1)</f>
        <v>2059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1"/>
        <v>0</v>
      </c>
      <c r="G67" s="486">
        <f t="shared" si="19"/>
        <v>0</v>
      </c>
      <c r="H67" s="455">
        <f t="shared" si="20"/>
        <v>0</v>
      </c>
      <c r="I67" s="475">
        <f t="shared" si="22"/>
        <v>0</v>
      </c>
      <c r="J67" s="475"/>
      <c r="K67" s="487"/>
      <c r="L67" s="478">
        <f t="shared" si="23"/>
        <v>0</v>
      </c>
      <c r="M67" s="487"/>
      <c r="N67" s="478">
        <f t="shared" si="24"/>
        <v>0</v>
      </c>
      <c r="O67" s="478">
        <f t="shared" si="25"/>
        <v>0</v>
      </c>
      <c r="P67" s="243"/>
    </row>
    <row r="68" spans="2:16">
      <c r="B68" s="160" t="str">
        <f t="shared" si="6"/>
        <v/>
      </c>
      <c r="C68" s="472">
        <f>IF(D11="","-",+C67+1)</f>
        <v>2060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1"/>
        <v>0</v>
      </c>
      <c r="G68" s="486">
        <f t="shared" si="19"/>
        <v>0</v>
      </c>
      <c r="H68" s="455">
        <f t="shared" si="20"/>
        <v>0</v>
      </c>
      <c r="I68" s="475">
        <f t="shared" si="22"/>
        <v>0</v>
      </c>
      <c r="J68" s="475"/>
      <c r="K68" s="487"/>
      <c r="L68" s="478">
        <f t="shared" si="23"/>
        <v>0</v>
      </c>
      <c r="M68" s="487"/>
      <c r="N68" s="478">
        <f t="shared" si="24"/>
        <v>0</v>
      </c>
      <c r="O68" s="478">
        <f t="shared" si="25"/>
        <v>0</v>
      </c>
      <c r="P68" s="243"/>
    </row>
    <row r="69" spans="2:16">
      <c r="B69" s="160" t="str">
        <f t="shared" si="6"/>
        <v/>
      </c>
      <c r="C69" s="472">
        <f>IF(D11="","-",+C68+1)</f>
        <v>2061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1"/>
        <v>0</v>
      </c>
      <c r="G69" s="486">
        <f t="shared" si="19"/>
        <v>0</v>
      </c>
      <c r="H69" s="455">
        <f t="shared" si="20"/>
        <v>0</v>
      </c>
      <c r="I69" s="475">
        <f t="shared" si="22"/>
        <v>0</v>
      </c>
      <c r="J69" s="475"/>
      <c r="K69" s="487"/>
      <c r="L69" s="478">
        <f t="shared" si="23"/>
        <v>0</v>
      </c>
      <c r="M69" s="487"/>
      <c r="N69" s="478">
        <f t="shared" si="24"/>
        <v>0</v>
      </c>
      <c r="O69" s="478">
        <f t="shared" si="25"/>
        <v>0</v>
      </c>
      <c r="P69" s="243"/>
    </row>
    <row r="70" spans="2:16">
      <c r="B70" s="160" t="str">
        <f t="shared" si="6"/>
        <v/>
      </c>
      <c r="C70" s="472">
        <f>IF(D11="","-",+C69+1)</f>
        <v>2062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1"/>
        <v>0</v>
      </c>
      <c r="G70" s="486">
        <f t="shared" si="19"/>
        <v>0</v>
      </c>
      <c r="H70" s="455">
        <f t="shared" si="20"/>
        <v>0</v>
      </c>
      <c r="I70" s="475">
        <f t="shared" si="22"/>
        <v>0</v>
      </c>
      <c r="J70" s="475"/>
      <c r="K70" s="487"/>
      <c r="L70" s="478">
        <f t="shared" si="23"/>
        <v>0</v>
      </c>
      <c r="M70" s="487"/>
      <c r="N70" s="478">
        <f t="shared" si="24"/>
        <v>0</v>
      </c>
      <c r="O70" s="478">
        <f t="shared" si="25"/>
        <v>0</v>
      </c>
      <c r="P70" s="243"/>
    </row>
    <row r="71" spans="2:16">
      <c r="B71" s="160" t="str">
        <f t="shared" si="6"/>
        <v/>
      </c>
      <c r="C71" s="472">
        <f>IF(D11="","-",+C70+1)</f>
        <v>2063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1"/>
        <v>0</v>
      </c>
      <c r="G71" s="486">
        <f t="shared" si="19"/>
        <v>0</v>
      </c>
      <c r="H71" s="455">
        <f t="shared" si="20"/>
        <v>0</v>
      </c>
      <c r="I71" s="475">
        <f t="shared" si="22"/>
        <v>0</v>
      </c>
      <c r="J71" s="475"/>
      <c r="K71" s="487"/>
      <c r="L71" s="478">
        <f t="shared" si="23"/>
        <v>0</v>
      </c>
      <c r="M71" s="487"/>
      <c r="N71" s="478">
        <f t="shared" si="24"/>
        <v>0</v>
      </c>
      <c r="O71" s="478">
        <f t="shared" si="25"/>
        <v>0</v>
      </c>
      <c r="P71" s="243"/>
    </row>
    <row r="72" spans="2:16" ht="13.5" thickBot="1">
      <c r="B72" s="160" t="str">
        <f t="shared" si="6"/>
        <v/>
      </c>
      <c r="C72" s="489">
        <f>IF(D11="","-",+C71+1)</f>
        <v>2064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1"/>
        <v>0</v>
      </c>
      <c r="G72" s="490">
        <f t="shared" si="19"/>
        <v>0</v>
      </c>
      <c r="H72" s="490">
        <f t="shared" si="20"/>
        <v>0</v>
      </c>
      <c r="I72" s="493">
        <f t="shared" si="22"/>
        <v>0</v>
      </c>
      <c r="J72" s="475"/>
      <c r="K72" s="494"/>
      <c r="L72" s="495">
        <f t="shared" si="23"/>
        <v>0</v>
      </c>
      <c r="M72" s="494"/>
      <c r="N72" s="495">
        <f t="shared" si="24"/>
        <v>0</v>
      </c>
      <c r="O72" s="495">
        <f t="shared" si="25"/>
        <v>0</v>
      </c>
      <c r="P72" s="243"/>
    </row>
    <row r="73" spans="2:16">
      <c r="C73" s="347" t="s">
        <v>77</v>
      </c>
      <c r="D73" s="348"/>
      <c r="E73" s="348">
        <f>SUM(E17:E72)</f>
        <v>4688896</v>
      </c>
      <c r="F73" s="348"/>
      <c r="G73" s="348">
        <f>SUM(G17:G72)</f>
        <v>18165059.260344364</v>
      </c>
      <c r="H73" s="348">
        <f>SUM(H17:H72)</f>
        <v>18165059.260344364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2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480370.47549623175</v>
      </c>
      <c r="N87" s="508">
        <f>IF(J92&lt;D11,0,VLOOKUP(J92,C17:O72,11))</f>
        <v>480370.47549623175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513022.46807795716</v>
      </c>
      <c r="N88" s="512">
        <f>IF(J92&lt;D11,0,VLOOKUP(J92,C99:P154,7))</f>
        <v>513022.46807795716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Craig Jct. to Broken Bow Dam 138 Rebuild (7.7mi)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32651.992581725412</v>
      </c>
      <c r="N89" s="517">
        <f>+N88-N87</f>
        <v>32651.992581725412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TP2007059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4688896.139999995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5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114363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2009</v>
      </c>
      <c r="D99" s="473">
        <v>0</v>
      </c>
      <c r="E99" s="480">
        <v>49223</v>
      </c>
      <c r="F99" s="479">
        <v>4676168</v>
      </c>
      <c r="G99" s="537">
        <v>2338084</v>
      </c>
      <c r="H99" s="538">
        <v>391070</v>
      </c>
      <c r="I99" s="539">
        <v>391070</v>
      </c>
      <c r="J99" s="478">
        <f t="shared" ref="J99:J130" si="26">+I99-H99</f>
        <v>0</v>
      </c>
      <c r="K99" s="478"/>
      <c r="L99" s="476">
        <f t="shared" ref="L99:L104" si="27">H99</f>
        <v>391070</v>
      </c>
      <c r="M99" s="477">
        <f t="shared" ref="M99:M130" si="28">IF(L99&lt;&gt;0,+H99-L99,0)</f>
        <v>0</v>
      </c>
      <c r="N99" s="476">
        <f t="shared" ref="N99:N104" si="29">I99</f>
        <v>391070</v>
      </c>
      <c r="O99" s="477">
        <f t="shared" ref="O99:O130" si="30">IF(N99&lt;&gt;0,+I99-N99,0)</f>
        <v>0</v>
      </c>
      <c r="P99" s="477">
        <f t="shared" ref="P99:P130" si="31">+O99-M99</f>
        <v>0</v>
      </c>
    </row>
    <row r="100" spans="1:16">
      <c r="B100" s="160" t="str">
        <f>IF(D100=F99,"","IU")</f>
        <v>IU</v>
      </c>
      <c r="C100" s="472">
        <f>IF(D93="","-",+C99+1)</f>
        <v>2010</v>
      </c>
      <c r="D100" s="473">
        <v>4639673.1399999997</v>
      </c>
      <c r="E100" s="480">
        <v>91939</v>
      </c>
      <c r="F100" s="479">
        <v>4547734.1399999997</v>
      </c>
      <c r="G100" s="479">
        <v>4593703.6399999997</v>
      </c>
      <c r="H100" s="480">
        <v>830676.46951907186</v>
      </c>
      <c r="I100" s="481">
        <v>830676.46951907186</v>
      </c>
      <c r="J100" s="478">
        <f t="shared" si="26"/>
        <v>0</v>
      </c>
      <c r="K100" s="478"/>
      <c r="L100" s="540">
        <f t="shared" si="27"/>
        <v>830676.46951907186</v>
      </c>
      <c r="M100" s="541">
        <f t="shared" si="28"/>
        <v>0</v>
      </c>
      <c r="N100" s="540">
        <f t="shared" si="29"/>
        <v>830676.46951907186</v>
      </c>
      <c r="O100" s="478">
        <f t="shared" si="30"/>
        <v>0</v>
      </c>
      <c r="P100" s="478">
        <f t="shared" si="31"/>
        <v>0</v>
      </c>
    </row>
    <row r="101" spans="1:16">
      <c r="B101" s="160" t="str">
        <f t="shared" ref="B101:B154" si="32">IF(D101=F100,"","IU")</f>
        <v/>
      </c>
      <c r="C101" s="482">
        <f>IF(D93="","-",+C100+1)</f>
        <v>2011</v>
      </c>
      <c r="D101" s="473">
        <v>4547734.1399999997</v>
      </c>
      <c r="E101" s="480">
        <v>90171</v>
      </c>
      <c r="F101" s="479">
        <v>4457563.1399999997</v>
      </c>
      <c r="G101" s="479">
        <v>4502648.6399999997</v>
      </c>
      <c r="H101" s="480">
        <v>719701.78616364778</v>
      </c>
      <c r="I101" s="481">
        <v>719701.78616364778</v>
      </c>
      <c r="J101" s="478">
        <f t="shared" si="26"/>
        <v>0</v>
      </c>
      <c r="K101" s="478"/>
      <c r="L101" s="540">
        <f t="shared" si="27"/>
        <v>719701.78616364778</v>
      </c>
      <c r="M101" s="541">
        <f t="shared" si="28"/>
        <v>0</v>
      </c>
      <c r="N101" s="540">
        <f t="shared" si="29"/>
        <v>719701.78616364778</v>
      </c>
      <c r="O101" s="478">
        <f t="shared" si="30"/>
        <v>0</v>
      </c>
      <c r="P101" s="478">
        <f t="shared" si="31"/>
        <v>0</v>
      </c>
    </row>
    <row r="102" spans="1:16">
      <c r="B102" s="160" t="str">
        <f t="shared" si="32"/>
        <v/>
      </c>
      <c r="C102" s="472">
        <f>IF(D93="","-",+C101+1)</f>
        <v>2012</v>
      </c>
      <c r="D102" s="473">
        <v>4457563.1399999997</v>
      </c>
      <c r="E102" s="480">
        <v>90171</v>
      </c>
      <c r="F102" s="479">
        <v>4367392.1399999997</v>
      </c>
      <c r="G102" s="479">
        <v>4412477.6399999997</v>
      </c>
      <c r="H102" s="480">
        <v>724930.09682284109</v>
      </c>
      <c r="I102" s="481">
        <v>724930.09682284109</v>
      </c>
      <c r="J102" s="478">
        <v>0</v>
      </c>
      <c r="K102" s="478"/>
      <c r="L102" s="540">
        <f t="shared" si="27"/>
        <v>724930.09682284109</v>
      </c>
      <c r="M102" s="541">
        <f t="shared" ref="M102:M107" si="33">IF(L102&lt;&gt;0,+H102-L102,0)</f>
        <v>0</v>
      </c>
      <c r="N102" s="540">
        <f t="shared" si="29"/>
        <v>724930.09682284109</v>
      </c>
      <c r="O102" s="478">
        <f>IF(N102&lt;&gt;0,+I102-N102,0)</f>
        <v>0</v>
      </c>
      <c r="P102" s="478">
        <f>+O102-M102</f>
        <v>0</v>
      </c>
    </row>
    <row r="103" spans="1:16">
      <c r="B103" s="160" t="str">
        <f t="shared" si="32"/>
        <v/>
      </c>
      <c r="C103" s="472">
        <f>IF(D93="","-",+C102+1)</f>
        <v>2013</v>
      </c>
      <c r="D103" s="473">
        <v>4367392.1399999997</v>
      </c>
      <c r="E103" s="480">
        <v>90171</v>
      </c>
      <c r="F103" s="479">
        <v>4277221.1399999997</v>
      </c>
      <c r="G103" s="479">
        <v>4322306.6399999997</v>
      </c>
      <c r="H103" s="480">
        <v>712322.06264393788</v>
      </c>
      <c r="I103" s="481">
        <v>712322.06264393788</v>
      </c>
      <c r="J103" s="478">
        <v>0</v>
      </c>
      <c r="K103" s="478"/>
      <c r="L103" s="540">
        <f t="shared" si="27"/>
        <v>712322.06264393788</v>
      </c>
      <c r="M103" s="541">
        <f t="shared" si="33"/>
        <v>0</v>
      </c>
      <c r="N103" s="540">
        <f t="shared" si="29"/>
        <v>712322.06264393788</v>
      </c>
      <c r="O103" s="478">
        <f>IF(N103&lt;&gt;0,+I103-N103,0)</f>
        <v>0</v>
      </c>
      <c r="P103" s="478">
        <f>+O103-M103</f>
        <v>0</v>
      </c>
    </row>
    <row r="104" spans="1:16">
      <c r="B104" s="160" t="str">
        <f t="shared" si="32"/>
        <v/>
      </c>
      <c r="C104" s="472">
        <f>IF(D93="","-",+C103+1)</f>
        <v>2014</v>
      </c>
      <c r="D104" s="473">
        <v>4277221.1399999997</v>
      </c>
      <c r="E104" s="480">
        <v>90171</v>
      </c>
      <c r="F104" s="479">
        <v>4187050.1399999997</v>
      </c>
      <c r="G104" s="479">
        <v>4232135.6399999997</v>
      </c>
      <c r="H104" s="480">
        <v>685191.9710405051</v>
      </c>
      <c r="I104" s="481">
        <v>685191.9710405051</v>
      </c>
      <c r="J104" s="478">
        <v>0</v>
      </c>
      <c r="K104" s="478"/>
      <c r="L104" s="540">
        <f t="shared" si="27"/>
        <v>685191.9710405051</v>
      </c>
      <c r="M104" s="541">
        <f t="shared" si="33"/>
        <v>0</v>
      </c>
      <c r="N104" s="540">
        <f t="shared" si="29"/>
        <v>685191.9710405051</v>
      </c>
      <c r="O104" s="478">
        <f>IF(N104&lt;&gt;0,+I104-N104,0)</f>
        <v>0</v>
      </c>
      <c r="P104" s="478">
        <f>+O104-M104</f>
        <v>0</v>
      </c>
    </row>
    <row r="105" spans="1:16">
      <c r="B105" s="160" t="str">
        <f t="shared" si="32"/>
        <v/>
      </c>
      <c r="C105" s="472">
        <f>IF(D93="","-",+C104+1)</f>
        <v>2015</v>
      </c>
      <c r="D105" s="473">
        <v>4187050.1399999997</v>
      </c>
      <c r="E105" s="480">
        <v>90171</v>
      </c>
      <c r="F105" s="479">
        <v>4096879.1399999997</v>
      </c>
      <c r="G105" s="479">
        <v>4141964.6399999997</v>
      </c>
      <c r="H105" s="480">
        <v>655308.7720911433</v>
      </c>
      <c r="I105" s="481">
        <v>655308.7720911433</v>
      </c>
      <c r="J105" s="478">
        <f t="shared" si="26"/>
        <v>0</v>
      </c>
      <c r="K105" s="478"/>
      <c r="L105" s="540">
        <f t="shared" ref="L105:L110" si="34">H105</f>
        <v>655308.7720911433</v>
      </c>
      <c r="M105" s="541">
        <f t="shared" si="33"/>
        <v>0</v>
      </c>
      <c r="N105" s="540">
        <f t="shared" ref="N105:N110" si="35">I105</f>
        <v>655308.7720911433</v>
      </c>
      <c r="O105" s="478">
        <f t="shared" si="30"/>
        <v>0</v>
      </c>
      <c r="P105" s="478">
        <f t="shared" si="31"/>
        <v>0</v>
      </c>
    </row>
    <row r="106" spans="1:16">
      <c r="B106" s="160" t="str">
        <f t="shared" si="32"/>
        <v/>
      </c>
      <c r="C106" s="472">
        <f>IF(D93="","-",+C105+1)</f>
        <v>2016</v>
      </c>
      <c r="D106" s="473">
        <v>4096879.1399999997</v>
      </c>
      <c r="E106" s="480">
        <v>101933</v>
      </c>
      <c r="F106" s="479">
        <v>3994946.1399999997</v>
      </c>
      <c r="G106" s="479">
        <v>4045912.6399999997</v>
      </c>
      <c r="H106" s="480">
        <v>623514.8578657991</v>
      </c>
      <c r="I106" s="481">
        <v>623514.8578657991</v>
      </c>
      <c r="J106" s="478">
        <f t="shared" si="26"/>
        <v>0</v>
      </c>
      <c r="K106" s="478"/>
      <c r="L106" s="540">
        <f t="shared" si="34"/>
        <v>623514.8578657991</v>
      </c>
      <c r="M106" s="541">
        <f t="shared" si="33"/>
        <v>0</v>
      </c>
      <c r="N106" s="540">
        <f t="shared" si="35"/>
        <v>623514.8578657991</v>
      </c>
      <c r="O106" s="478">
        <f>IF(N106&lt;&gt;0,+I106-N106,0)</f>
        <v>0</v>
      </c>
      <c r="P106" s="478">
        <f>+O106-M106</f>
        <v>0</v>
      </c>
    </row>
    <row r="107" spans="1:16">
      <c r="B107" s="160" t="str">
        <f t="shared" si="32"/>
        <v/>
      </c>
      <c r="C107" s="472">
        <f>IF(D93="","-",+C106+1)</f>
        <v>2017</v>
      </c>
      <c r="D107" s="473">
        <v>3994946.1399999997</v>
      </c>
      <c r="E107" s="480">
        <v>101933</v>
      </c>
      <c r="F107" s="479">
        <v>3893013.1399999997</v>
      </c>
      <c r="G107" s="479">
        <v>3943979.6399999997</v>
      </c>
      <c r="H107" s="480">
        <v>602236.76208219538</v>
      </c>
      <c r="I107" s="481">
        <v>602236.76208219538</v>
      </c>
      <c r="J107" s="478">
        <f t="shared" si="26"/>
        <v>0</v>
      </c>
      <c r="K107" s="478"/>
      <c r="L107" s="540">
        <f t="shared" si="34"/>
        <v>602236.76208219538</v>
      </c>
      <c r="M107" s="541">
        <f t="shared" si="33"/>
        <v>0</v>
      </c>
      <c r="N107" s="540">
        <f t="shared" si="35"/>
        <v>602236.76208219538</v>
      </c>
      <c r="O107" s="478">
        <f>IF(N107&lt;&gt;0,+I107-N107,0)</f>
        <v>0</v>
      </c>
      <c r="P107" s="478">
        <f>+O107-M107</f>
        <v>0</v>
      </c>
    </row>
    <row r="108" spans="1:16">
      <c r="B108" s="160" t="str">
        <f t="shared" si="32"/>
        <v/>
      </c>
      <c r="C108" s="472">
        <f>IF(D93="","-",+C107+1)</f>
        <v>2018</v>
      </c>
      <c r="D108" s="473">
        <v>3893013.1399999997</v>
      </c>
      <c r="E108" s="480">
        <v>109044</v>
      </c>
      <c r="F108" s="479">
        <v>3783969.1399999997</v>
      </c>
      <c r="G108" s="479">
        <v>3838491.1399999997</v>
      </c>
      <c r="H108" s="480">
        <v>503393.56302800257</v>
      </c>
      <c r="I108" s="481">
        <v>503393.56302800257</v>
      </c>
      <c r="J108" s="478">
        <f t="shared" si="26"/>
        <v>0</v>
      </c>
      <c r="K108" s="478"/>
      <c r="L108" s="540">
        <f t="shared" si="34"/>
        <v>503393.56302800257</v>
      </c>
      <c r="M108" s="541">
        <f t="shared" ref="M108" si="36">IF(L108&lt;&gt;0,+H108-L108,0)</f>
        <v>0</v>
      </c>
      <c r="N108" s="540">
        <f t="shared" si="35"/>
        <v>503393.56302800257</v>
      </c>
      <c r="O108" s="478">
        <f>IF(N108&lt;&gt;0,+I108-N108,0)</f>
        <v>0</v>
      </c>
      <c r="P108" s="478">
        <f>+O108-M108</f>
        <v>0</v>
      </c>
    </row>
    <row r="109" spans="1:16">
      <c r="B109" s="160" t="str">
        <f t="shared" si="32"/>
        <v/>
      </c>
      <c r="C109" s="472">
        <f>IF(D93="","-",+C108+1)</f>
        <v>2019</v>
      </c>
      <c r="D109" s="473">
        <v>3783969.1399999997</v>
      </c>
      <c r="E109" s="480">
        <v>114363</v>
      </c>
      <c r="F109" s="479">
        <v>3669606.1399999997</v>
      </c>
      <c r="G109" s="479">
        <v>3726787.6399999997</v>
      </c>
      <c r="H109" s="480">
        <v>498647.07790793071</v>
      </c>
      <c r="I109" s="481">
        <v>498647.07790793071</v>
      </c>
      <c r="J109" s="478">
        <f t="shared" si="26"/>
        <v>0</v>
      </c>
      <c r="K109" s="478"/>
      <c r="L109" s="540">
        <f t="shared" si="34"/>
        <v>498647.07790793071</v>
      </c>
      <c r="M109" s="541">
        <f t="shared" ref="M109" si="37">IF(L109&lt;&gt;0,+H109-L109,0)</f>
        <v>0</v>
      </c>
      <c r="N109" s="540">
        <f t="shared" si="35"/>
        <v>498647.07790793071</v>
      </c>
      <c r="O109" s="478">
        <f t="shared" si="30"/>
        <v>0</v>
      </c>
      <c r="P109" s="478">
        <f t="shared" si="31"/>
        <v>0</v>
      </c>
    </row>
    <row r="110" spans="1:16">
      <c r="B110" s="160" t="str">
        <f t="shared" si="32"/>
        <v/>
      </c>
      <c r="C110" s="472">
        <f>IF(D93="","-",+C109+1)</f>
        <v>2020</v>
      </c>
      <c r="D110" s="473">
        <v>3669606.1399999997</v>
      </c>
      <c r="E110" s="480">
        <v>109044</v>
      </c>
      <c r="F110" s="479">
        <v>3560562.1399999997</v>
      </c>
      <c r="G110" s="479">
        <v>3615084.1399999997</v>
      </c>
      <c r="H110" s="480">
        <v>525853.2624876654</v>
      </c>
      <c r="I110" s="481">
        <v>525853.2624876654</v>
      </c>
      <c r="J110" s="478">
        <f t="shared" si="26"/>
        <v>0</v>
      </c>
      <c r="K110" s="478"/>
      <c r="L110" s="540">
        <f t="shared" si="34"/>
        <v>525853.2624876654</v>
      </c>
      <c r="M110" s="541">
        <f t="shared" ref="M110" si="38">IF(L110&lt;&gt;0,+H110-L110,0)</f>
        <v>0</v>
      </c>
      <c r="N110" s="540">
        <f t="shared" si="35"/>
        <v>525853.2624876654</v>
      </c>
      <c r="O110" s="478">
        <f t="shared" si="30"/>
        <v>0</v>
      </c>
      <c r="P110" s="478">
        <f t="shared" si="31"/>
        <v>0</v>
      </c>
    </row>
    <row r="111" spans="1:16">
      <c r="B111" s="160" t="str">
        <f t="shared" si="32"/>
        <v/>
      </c>
      <c r="C111" s="472">
        <f>IF(D93="","-",+C110+1)</f>
        <v>2021</v>
      </c>
      <c r="D111" s="347">
        <f>IF(F110+SUM(E$99:E110)=D$92,F110,D$92-SUM(E$99:E110))</f>
        <v>3560562.1399999997</v>
      </c>
      <c r="E111" s="486">
        <f>IF(+J96&lt;F110,J96,D111)</f>
        <v>114363</v>
      </c>
      <c r="F111" s="485">
        <f t="shared" ref="F111:F130" si="39">+D111-E111</f>
        <v>3446199.1399999997</v>
      </c>
      <c r="G111" s="485">
        <f t="shared" ref="G111:G130" si="40">+(F111+D111)/2</f>
        <v>3503380.6399999997</v>
      </c>
      <c r="H111" s="486">
        <f t="shared" ref="H111:H154" si="41">(D111+F111)/2*J$94+E111</f>
        <v>513022.46807795716</v>
      </c>
      <c r="I111" s="542">
        <f t="shared" ref="I111:I154" si="42">+J$95*G111+E111</f>
        <v>513022.46807795716</v>
      </c>
      <c r="J111" s="478">
        <f t="shared" si="26"/>
        <v>0</v>
      </c>
      <c r="K111" s="478"/>
      <c r="L111" s="487"/>
      <c r="M111" s="478">
        <f t="shared" si="28"/>
        <v>0</v>
      </c>
      <c r="N111" s="487"/>
      <c r="O111" s="478">
        <f t="shared" si="30"/>
        <v>0</v>
      </c>
      <c r="P111" s="478">
        <f t="shared" si="31"/>
        <v>0</v>
      </c>
    </row>
    <row r="112" spans="1:16">
      <c r="B112" s="160" t="str">
        <f t="shared" si="32"/>
        <v/>
      </c>
      <c r="C112" s="472">
        <f>IF(D93="","-",+C111+1)</f>
        <v>2022</v>
      </c>
      <c r="D112" s="347">
        <f>IF(F111+SUM(E$99:E111)=D$92,F111,D$92-SUM(E$99:E111))</f>
        <v>3446199.1399999997</v>
      </c>
      <c r="E112" s="486">
        <f>IF(+J96&lt;F111,J96,D112)</f>
        <v>114363</v>
      </c>
      <c r="F112" s="485">
        <f t="shared" si="39"/>
        <v>3331836.1399999997</v>
      </c>
      <c r="G112" s="485">
        <f t="shared" si="40"/>
        <v>3389017.6399999997</v>
      </c>
      <c r="H112" s="486">
        <f t="shared" si="41"/>
        <v>500008.7828884999</v>
      </c>
      <c r="I112" s="542">
        <f t="shared" si="42"/>
        <v>500008.7828884999</v>
      </c>
      <c r="J112" s="478">
        <f t="shared" si="26"/>
        <v>0</v>
      </c>
      <c r="K112" s="478"/>
      <c r="L112" s="487"/>
      <c r="M112" s="478">
        <f t="shared" si="28"/>
        <v>0</v>
      </c>
      <c r="N112" s="487"/>
      <c r="O112" s="478">
        <f t="shared" si="30"/>
        <v>0</v>
      </c>
      <c r="P112" s="478">
        <f t="shared" si="31"/>
        <v>0</v>
      </c>
    </row>
    <row r="113" spans="2:16">
      <c r="B113" s="160" t="str">
        <f t="shared" si="32"/>
        <v/>
      </c>
      <c r="C113" s="472">
        <f>IF(D93="","-",+C112+1)</f>
        <v>2023</v>
      </c>
      <c r="D113" s="347">
        <f>IF(F112+SUM(E$99:E112)=D$92,F112,D$92-SUM(E$99:E112))</f>
        <v>3331836.1399999997</v>
      </c>
      <c r="E113" s="486">
        <f>IF(+J96&lt;F112,J96,D113)</f>
        <v>114363</v>
      </c>
      <c r="F113" s="485">
        <f t="shared" si="39"/>
        <v>3217473.1399999997</v>
      </c>
      <c r="G113" s="485">
        <f t="shared" si="40"/>
        <v>3274654.6399999997</v>
      </c>
      <c r="H113" s="486">
        <f t="shared" si="41"/>
        <v>486995.09769904258</v>
      </c>
      <c r="I113" s="542">
        <f t="shared" si="42"/>
        <v>486995.09769904258</v>
      </c>
      <c r="J113" s="478">
        <f t="shared" si="26"/>
        <v>0</v>
      </c>
      <c r="K113" s="478"/>
      <c r="L113" s="487"/>
      <c r="M113" s="478">
        <f t="shared" si="28"/>
        <v>0</v>
      </c>
      <c r="N113" s="487"/>
      <c r="O113" s="478">
        <f t="shared" si="30"/>
        <v>0</v>
      </c>
      <c r="P113" s="478">
        <f t="shared" si="31"/>
        <v>0</v>
      </c>
    </row>
    <row r="114" spans="2:16">
      <c r="B114" s="160" t="str">
        <f t="shared" si="32"/>
        <v/>
      </c>
      <c r="C114" s="472">
        <f>IF(D93="","-",+C113+1)</f>
        <v>2024</v>
      </c>
      <c r="D114" s="347">
        <f>IF(F113+SUM(E$99:E113)=D$92,F113,D$92-SUM(E$99:E113))</f>
        <v>3217473.1399999997</v>
      </c>
      <c r="E114" s="486">
        <f>IF(+J96&lt;F113,J96,D114)</f>
        <v>114363</v>
      </c>
      <c r="F114" s="485">
        <f t="shared" si="39"/>
        <v>3103110.1399999997</v>
      </c>
      <c r="G114" s="485">
        <f t="shared" si="40"/>
        <v>3160291.6399999997</v>
      </c>
      <c r="H114" s="486">
        <f t="shared" si="41"/>
        <v>473981.41250958527</v>
      </c>
      <c r="I114" s="542">
        <f t="shared" si="42"/>
        <v>473981.41250958527</v>
      </c>
      <c r="J114" s="478">
        <f t="shared" si="26"/>
        <v>0</v>
      </c>
      <c r="K114" s="478"/>
      <c r="L114" s="487"/>
      <c r="M114" s="478">
        <f t="shared" si="28"/>
        <v>0</v>
      </c>
      <c r="N114" s="487"/>
      <c r="O114" s="478">
        <f t="shared" si="30"/>
        <v>0</v>
      </c>
      <c r="P114" s="478">
        <f t="shared" si="31"/>
        <v>0</v>
      </c>
    </row>
    <row r="115" spans="2:16">
      <c r="B115" s="160" t="str">
        <f t="shared" si="32"/>
        <v/>
      </c>
      <c r="C115" s="472">
        <f>IF(D93="","-",+C114+1)</f>
        <v>2025</v>
      </c>
      <c r="D115" s="347">
        <f>IF(F114+SUM(E$99:E114)=D$92,F114,D$92-SUM(E$99:E114))</f>
        <v>3103110.1399999997</v>
      </c>
      <c r="E115" s="486">
        <f>IF(+J96&lt;F114,J96,D115)</f>
        <v>114363</v>
      </c>
      <c r="F115" s="485">
        <f t="shared" si="39"/>
        <v>2988747.1399999997</v>
      </c>
      <c r="G115" s="485">
        <f t="shared" si="40"/>
        <v>3045928.6399999997</v>
      </c>
      <c r="H115" s="486">
        <f t="shared" si="41"/>
        <v>460967.727320128</v>
      </c>
      <c r="I115" s="542">
        <f t="shared" si="42"/>
        <v>460967.727320128</v>
      </c>
      <c r="J115" s="478">
        <f t="shared" si="26"/>
        <v>0</v>
      </c>
      <c r="K115" s="478"/>
      <c r="L115" s="487"/>
      <c r="M115" s="478">
        <f t="shared" si="28"/>
        <v>0</v>
      </c>
      <c r="N115" s="487"/>
      <c r="O115" s="478">
        <f t="shared" si="30"/>
        <v>0</v>
      </c>
      <c r="P115" s="478">
        <f t="shared" si="31"/>
        <v>0</v>
      </c>
    </row>
    <row r="116" spans="2:16">
      <c r="B116" s="160" t="str">
        <f t="shared" si="32"/>
        <v/>
      </c>
      <c r="C116" s="472">
        <f>IF(D93="","-",+C115+1)</f>
        <v>2026</v>
      </c>
      <c r="D116" s="347">
        <f>IF(F115+SUM(E$99:E115)=D$92,F115,D$92-SUM(E$99:E115))</f>
        <v>2988747.1399999997</v>
      </c>
      <c r="E116" s="486">
        <f>IF(+J96&lt;F115,J96,D116)</f>
        <v>114363</v>
      </c>
      <c r="F116" s="485">
        <f t="shared" si="39"/>
        <v>2874384.1399999997</v>
      </c>
      <c r="G116" s="485">
        <f t="shared" si="40"/>
        <v>2931565.6399999997</v>
      </c>
      <c r="H116" s="486">
        <f t="shared" si="41"/>
        <v>447954.04213067068</v>
      </c>
      <c r="I116" s="542">
        <f t="shared" si="42"/>
        <v>447954.04213067068</v>
      </c>
      <c r="J116" s="478">
        <f t="shared" si="26"/>
        <v>0</v>
      </c>
      <c r="K116" s="478"/>
      <c r="L116" s="487"/>
      <c r="M116" s="478">
        <f t="shared" si="28"/>
        <v>0</v>
      </c>
      <c r="N116" s="487"/>
      <c r="O116" s="478">
        <f t="shared" si="30"/>
        <v>0</v>
      </c>
      <c r="P116" s="478">
        <f t="shared" si="31"/>
        <v>0</v>
      </c>
    </row>
    <row r="117" spans="2:16">
      <c r="B117" s="160" t="str">
        <f t="shared" si="32"/>
        <v/>
      </c>
      <c r="C117" s="472">
        <f>IF(D93="","-",+C116+1)</f>
        <v>2027</v>
      </c>
      <c r="D117" s="347">
        <f>IF(F116+SUM(E$99:E116)=D$92,F116,D$92-SUM(E$99:E116))</f>
        <v>2874384.1399999997</v>
      </c>
      <c r="E117" s="486">
        <f>IF(+J96&lt;F116,J96,D117)</f>
        <v>114363</v>
      </c>
      <c r="F117" s="485">
        <f t="shared" si="39"/>
        <v>2760021.1399999997</v>
      </c>
      <c r="G117" s="485">
        <f t="shared" si="40"/>
        <v>2817202.6399999997</v>
      </c>
      <c r="H117" s="486">
        <f t="shared" si="41"/>
        <v>434940.35694121342</v>
      </c>
      <c r="I117" s="542">
        <f t="shared" si="42"/>
        <v>434940.35694121342</v>
      </c>
      <c r="J117" s="478">
        <f t="shared" si="26"/>
        <v>0</v>
      </c>
      <c r="K117" s="478"/>
      <c r="L117" s="487"/>
      <c r="M117" s="478">
        <f t="shared" si="28"/>
        <v>0</v>
      </c>
      <c r="N117" s="487"/>
      <c r="O117" s="478">
        <f t="shared" si="30"/>
        <v>0</v>
      </c>
      <c r="P117" s="478">
        <f t="shared" si="31"/>
        <v>0</v>
      </c>
    </row>
    <row r="118" spans="2:16">
      <c r="B118" s="160" t="str">
        <f t="shared" si="32"/>
        <v/>
      </c>
      <c r="C118" s="472">
        <f>IF(D93="","-",+C117+1)</f>
        <v>2028</v>
      </c>
      <c r="D118" s="347">
        <f>IF(F117+SUM(E$99:E117)=D$92,F117,D$92-SUM(E$99:E117))</f>
        <v>2760021.1399999997</v>
      </c>
      <c r="E118" s="486">
        <f>IF(+J96&lt;F117,J96,D118)</f>
        <v>114363</v>
      </c>
      <c r="F118" s="485">
        <f t="shared" si="39"/>
        <v>2645658.1399999997</v>
      </c>
      <c r="G118" s="485">
        <f t="shared" si="40"/>
        <v>2702839.6399999997</v>
      </c>
      <c r="H118" s="486">
        <f t="shared" si="41"/>
        <v>421926.6717517561</v>
      </c>
      <c r="I118" s="542">
        <f t="shared" si="42"/>
        <v>421926.6717517561</v>
      </c>
      <c r="J118" s="478">
        <f t="shared" si="26"/>
        <v>0</v>
      </c>
      <c r="K118" s="478"/>
      <c r="L118" s="487"/>
      <c r="M118" s="478">
        <f t="shared" si="28"/>
        <v>0</v>
      </c>
      <c r="N118" s="487"/>
      <c r="O118" s="478">
        <f t="shared" si="30"/>
        <v>0</v>
      </c>
      <c r="P118" s="478">
        <f t="shared" si="31"/>
        <v>0</v>
      </c>
    </row>
    <row r="119" spans="2:16">
      <c r="B119" s="160" t="str">
        <f t="shared" si="32"/>
        <v/>
      </c>
      <c r="C119" s="472">
        <f>IF(D93="","-",+C118+1)</f>
        <v>2029</v>
      </c>
      <c r="D119" s="347">
        <f>IF(F118+SUM(E$99:E118)=D$92,F118,D$92-SUM(E$99:E118))</f>
        <v>2645658.1399999997</v>
      </c>
      <c r="E119" s="486">
        <f>IF(+J96&lt;F118,J96,D119)</f>
        <v>114363</v>
      </c>
      <c r="F119" s="485">
        <f t="shared" si="39"/>
        <v>2531295.1399999997</v>
      </c>
      <c r="G119" s="485">
        <f t="shared" si="40"/>
        <v>2588476.6399999997</v>
      </c>
      <c r="H119" s="486">
        <f t="shared" si="41"/>
        <v>408912.98656229879</v>
      </c>
      <c r="I119" s="542">
        <f t="shared" si="42"/>
        <v>408912.98656229879</v>
      </c>
      <c r="J119" s="478">
        <f t="shared" si="26"/>
        <v>0</v>
      </c>
      <c r="K119" s="478"/>
      <c r="L119" s="487"/>
      <c r="M119" s="478">
        <f t="shared" si="28"/>
        <v>0</v>
      </c>
      <c r="N119" s="487"/>
      <c r="O119" s="478">
        <f t="shared" si="30"/>
        <v>0</v>
      </c>
      <c r="P119" s="478">
        <f t="shared" si="31"/>
        <v>0</v>
      </c>
    </row>
    <row r="120" spans="2:16">
      <c r="B120" s="160" t="str">
        <f t="shared" si="32"/>
        <v/>
      </c>
      <c r="C120" s="472">
        <f>IF(D93="","-",+C119+1)</f>
        <v>2030</v>
      </c>
      <c r="D120" s="347">
        <f>IF(F119+SUM(E$99:E119)=D$92,F119,D$92-SUM(E$99:E119))</f>
        <v>2531295.1399999997</v>
      </c>
      <c r="E120" s="486">
        <f>IF(+J96&lt;F119,J96,D120)</f>
        <v>114363</v>
      </c>
      <c r="F120" s="485">
        <f t="shared" si="39"/>
        <v>2416932.1399999997</v>
      </c>
      <c r="G120" s="485">
        <f t="shared" si="40"/>
        <v>2474113.6399999997</v>
      </c>
      <c r="H120" s="486">
        <f t="shared" si="41"/>
        <v>395899.30137284152</v>
      </c>
      <c r="I120" s="542">
        <f t="shared" si="42"/>
        <v>395899.30137284152</v>
      </c>
      <c r="J120" s="478">
        <f t="shared" si="26"/>
        <v>0</v>
      </c>
      <c r="K120" s="478"/>
      <c r="L120" s="487"/>
      <c r="M120" s="478">
        <f t="shared" si="28"/>
        <v>0</v>
      </c>
      <c r="N120" s="487"/>
      <c r="O120" s="478">
        <f t="shared" si="30"/>
        <v>0</v>
      </c>
      <c r="P120" s="478">
        <f t="shared" si="31"/>
        <v>0</v>
      </c>
    </row>
    <row r="121" spans="2:16">
      <c r="B121" s="160" t="str">
        <f t="shared" si="32"/>
        <v/>
      </c>
      <c r="C121" s="472">
        <f>IF(D93="","-",+C120+1)</f>
        <v>2031</v>
      </c>
      <c r="D121" s="347">
        <f>IF(F120+SUM(E$99:E120)=D$92,F120,D$92-SUM(E$99:E120))</f>
        <v>2416932.1399999997</v>
      </c>
      <c r="E121" s="486">
        <f>IF(+J96&lt;F120,J96,D121)</f>
        <v>114363</v>
      </c>
      <c r="F121" s="485">
        <f t="shared" si="39"/>
        <v>2302569.1399999997</v>
      </c>
      <c r="G121" s="485">
        <f t="shared" si="40"/>
        <v>2359750.6399999997</v>
      </c>
      <c r="H121" s="486">
        <f t="shared" si="41"/>
        <v>382885.61618338421</v>
      </c>
      <c r="I121" s="542">
        <f t="shared" si="42"/>
        <v>382885.61618338421</v>
      </c>
      <c r="J121" s="478">
        <f t="shared" si="26"/>
        <v>0</v>
      </c>
      <c r="K121" s="478"/>
      <c r="L121" s="487"/>
      <c r="M121" s="478">
        <f t="shared" si="28"/>
        <v>0</v>
      </c>
      <c r="N121" s="487"/>
      <c r="O121" s="478">
        <f t="shared" si="30"/>
        <v>0</v>
      </c>
      <c r="P121" s="478">
        <f t="shared" si="31"/>
        <v>0</v>
      </c>
    </row>
    <row r="122" spans="2:16">
      <c r="B122" s="160" t="str">
        <f t="shared" si="32"/>
        <v/>
      </c>
      <c r="C122" s="472">
        <f>IF(D93="","-",+C121+1)</f>
        <v>2032</v>
      </c>
      <c r="D122" s="347">
        <f>IF(F121+SUM(E$99:E121)=D$92,F121,D$92-SUM(E$99:E121))</f>
        <v>2302569.1399999997</v>
      </c>
      <c r="E122" s="486">
        <f>IF(+J96&lt;F121,J96,D122)</f>
        <v>114363</v>
      </c>
      <c r="F122" s="485">
        <f t="shared" si="39"/>
        <v>2188206.1399999997</v>
      </c>
      <c r="G122" s="485">
        <f t="shared" si="40"/>
        <v>2245387.6399999997</v>
      </c>
      <c r="H122" s="486">
        <f t="shared" si="41"/>
        <v>369871.93099392694</v>
      </c>
      <c r="I122" s="542">
        <f t="shared" si="42"/>
        <v>369871.93099392694</v>
      </c>
      <c r="J122" s="478">
        <f t="shared" si="26"/>
        <v>0</v>
      </c>
      <c r="K122" s="478"/>
      <c r="L122" s="487"/>
      <c r="M122" s="478">
        <f t="shared" si="28"/>
        <v>0</v>
      </c>
      <c r="N122" s="487"/>
      <c r="O122" s="478">
        <f t="shared" si="30"/>
        <v>0</v>
      </c>
      <c r="P122" s="478">
        <f t="shared" si="31"/>
        <v>0</v>
      </c>
    </row>
    <row r="123" spans="2:16">
      <c r="B123" s="160" t="str">
        <f t="shared" si="32"/>
        <v/>
      </c>
      <c r="C123" s="472">
        <f>IF(D93="","-",+C122+1)</f>
        <v>2033</v>
      </c>
      <c r="D123" s="347">
        <f>IF(F122+SUM(E$99:E122)=D$92,F122,D$92-SUM(E$99:E122))</f>
        <v>2188206.1399999997</v>
      </c>
      <c r="E123" s="486">
        <f>IF(+J96&lt;F122,J96,D123)</f>
        <v>114363</v>
      </c>
      <c r="F123" s="485">
        <f t="shared" si="39"/>
        <v>2073843.1399999997</v>
      </c>
      <c r="G123" s="485">
        <f t="shared" si="40"/>
        <v>2131024.6399999997</v>
      </c>
      <c r="H123" s="486">
        <f t="shared" si="41"/>
        <v>356858.24580446962</v>
      </c>
      <c r="I123" s="542">
        <f t="shared" si="42"/>
        <v>356858.24580446962</v>
      </c>
      <c r="J123" s="478">
        <f t="shared" si="26"/>
        <v>0</v>
      </c>
      <c r="K123" s="478"/>
      <c r="L123" s="487"/>
      <c r="M123" s="478">
        <f t="shared" si="28"/>
        <v>0</v>
      </c>
      <c r="N123" s="487"/>
      <c r="O123" s="478">
        <f t="shared" si="30"/>
        <v>0</v>
      </c>
      <c r="P123" s="478">
        <f t="shared" si="31"/>
        <v>0</v>
      </c>
    </row>
    <row r="124" spans="2:16">
      <c r="B124" s="160" t="str">
        <f t="shared" si="32"/>
        <v/>
      </c>
      <c r="C124" s="472">
        <f>IF(D93="","-",+C123+1)</f>
        <v>2034</v>
      </c>
      <c r="D124" s="347">
        <f>IF(F123+SUM(E$99:E123)=D$92,F123,D$92-SUM(E$99:E123))</f>
        <v>2073843.1399999997</v>
      </c>
      <c r="E124" s="486">
        <f>IF(+J96&lt;F123,J96,D124)</f>
        <v>114363</v>
      </c>
      <c r="F124" s="485">
        <f t="shared" si="39"/>
        <v>1959480.1399999997</v>
      </c>
      <c r="G124" s="485">
        <f t="shared" si="40"/>
        <v>2016661.6399999997</v>
      </c>
      <c r="H124" s="486">
        <f t="shared" si="41"/>
        <v>343844.56061501231</v>
      </c>
      <c r="I124" s="542">
        <f t="shared" si="42"/>
        <v>343844.56061501231</v>
      </c>
      <c r="J124" s="478">
        <f t="shared" si="26"/>
        <v>0</v>
      </c>
      <c r="K124" s="478"/>
      <c r="L124" s="487"/>
      <c r="M124" s="478">
        <f t="shared" si="28"/>
        <v>0</v>
      </c>
      <c r="N124" s="487"/>
      <c r="O124" s="478">
        <f t="shared" si="30"/>
        <v>0</v>
      </c>
      <c r="P124" s="478">
        <f t="shared" si="31"/>
        <v>0</v>
      </c>
    </row>
    <row r="125" spans="2:16">
      <c r="B125" s="160" t="str">
        <f t="shared" si="32"/>
        <v/>
      </c>
      <c r="C125" s="472">
        <f>IF(D93="","-",+C124+1)</f>
        <v>2035</v>
      </c>
      <c r="D125" s="347">
        <f>IF(F124+SUM(E$99:E124)=D$92,F124,D$92-SUM(E$99:E124))</f>
        <v>1959480.1399999997</v>
      </c>
      <c r="E125" s="486">
        <f>IF(+J96&lt;F124,J96,D125)</f>
        <v>114363</v>
      </c>
      <c r="F125" s="485">
        <f t="shared" si="39"/>
        <v>1845117.1399999997</v>
      </c>
      <c r="G125" s="485">
        <f t="shared" si="40"/>
        <v>1902298.6399999997</v>
      </c>
      <c r="H125" s="486">
        <f t="shared" si="41"/>
        <v>330830.87542555504</v>
      </c>
      <c r="I125" s="542">
        <f t="shared" si="42"/>
        <v>330830.87542555504</v>
      </c>
      <c r="J125" s="478">
        <f t="shared" si="26"/>
        <v>0</v>
      </c>
      <c r="K125" s="478"/>
      <c r="L125" s="487"/>
      <c r="M125" s="478">
        <f t="shared" si="28"/>
        <v>0</v>
      </c>
      <c r="N125" s="487"/>
      <c r="O125" s="478">
        <f t="shared" si="30"/>
        <v>0</v>
      </c>
      <c r="P125" s="478">
        <f t="shared" si="31"/>
        <v>0</v>
      </c>
    </row>
    <row r="126" spans="2:16">
      <c r="B126" s="160" t="str">
        <f t="shared" si="32"/>
        <v/>
      </c>
      <c r="C126" s="472">
        <f>IF(D93="","-",+C125+1)</f>
        <v>2036</v>
      </c>
      <c r="D126" s="347">
        <f>IF(F125+SUM(E$99:E125)=D$92,F125,D$92-SUM(E$99:E125))</f>
        <v>1845117.1399999997</v>
      </c>
      <c r="E126" s="486">
        <f>IF(+J96&lt;F125,J96,D126)</f>
        <v>114363</v>
      </c>
      <c r="F126" s="485">
        <f t="shared" si="39"/>
        <v>1730754.1399999997</v>
      </c>
      <c r="G126" s="485">
        <f t="shared" si="40"/>
        <v>1787935.6399999997</v>
      </c>
      <c r="H126" s="486">
        <f t="shared" si="41"/>
        <v>317817.19023609778</v>
      </c>
      <c r="I126" s="542">
        <f t="shared" si="42"/>
        <v>317817.19023609778</v>
      </c>
      <c r="J126" s="478">
        <f t="shared" si="26"/>
        <v>0</v>
      </c>
      <c r="K126" s="478"/>
      <c r="L126" s="487"/>
      <c r="M126" s="478">
        <f t="shared" si="28"/>
        <v>0</v>
      </c>
      <c r="N126" s="487"/>
      <c r="O126" s="478">
        <f t="shared" si="30"/>
        <v>0</v>
      </c>
      <c r="P126" s="478">
        <f t="shared" si="31"/>
        <v>0</v>
      </c>
    </row>
    <row r="127" spans="2:16">
      <c r="B127" s="160" t="str">
        <f t="shared" si="32"/>
        <v/>
      </c>
      <c r="C127" s="472">
        <f>IF(D93="","-",+C126+1)</f>
        <v>2037</v>
      </c>
      <c r="D127" s="347">
        <f>IF(F126+SUM(E$99:E126)=D$92,F126,D$92-SUM(E$99:E126))</f>
        <v>1730754.1399999997</v>
      </c>
      <c r="E127" s="486">
        <f>IF(+J96&lt;F126,J96,D127)</f>
        <v>114363</v>
      </c>
      <c r="F127" s="485">
        <f t="shared" si="39"/>
        <v>1616391.1399999997</v>
      </c>
      <c r="G127" s="485">
        <f t="shared" si="40"/>
        <v>1673572.6399999997</v>
      </c>
      <c r="H127" s="486">
        <f t="shared" si="41"/>
        <v>304803.50504664041</v>
      </c>
      <c r="I127" s="542">
        <f t="shared" si="42"/>
        <v>304803.50504664041</v>
      </c>
      <c r="J127" s="478">
        <f t="shared" si="26"/>
        <v>0</v>
      </c>
      <c r="K127" s="478"/>
      <c r="L127" s="487"/>
      <c r="M127" s="478">
        <f t="shared" si="28"/>
        <v>0</v>
      </c>
      <c r="N127" s="487"/>
      <c r="O127" s="478">
        <f t="shared" si="30"/>
        <v>0</v>
      </c>
      <c r="P127" s="478">
        <f t="shared" si="31"/>
        <v>0</v>
      </c>
    </row>
    <row r="128" spans="2:16">
      <c r="B128" s="160" t="str">
        <f t="shared" si="32"/>
        <v/>
      </c>
      <c r="C128" s="472">
        <f>IF(D93="","-",+C127+1)</f>
        <v>2038</v>
      </c>
      <c r="D128" s="347">
        <f>IF(F127+SUM(E$99:E127)=D$92,F127,D$92-SUM(E$99:E127))</f>
        <v>1616391.1399999997</v>
      </c>
      <c r="E128" s="486">
        <f>IF(+J96&lt;F127,J96,D128)</f>
        <v>114363</v>
      </c>
      <c r="F128" s="485">
        <f t="shared" si="39"/>
        <v>1502028.1399999997</v>
      </c>
      <c r="G128" s="485">
        <f t="shared" si="40"/>
        <v>1559209.6399999997</v>
      </c>
      <c r="H128" s="486">
        <f t="shared" si="41"/>
        <v>291789.81985718315</v>
      </c>
      <c r="I128" s="542">
        <f t="shared" si="42"/>
        <v>291789.81985718315</v>
      </c>
      <c r="J128" s="478">
        <f t="shared" si="26"/>
        <v>0</v>
      </c>
      <c r="K128" s="478"/>
      <c r="L128" s="487"/>
      <c r="M128" s="478">
        <f t="shared" si="28"/>
        <v>0</v>
      </c>
      <c r="N128" s="487"/>
      <c r="O128" s="478">
        <f t="shared" si="30"/>
        <v>0</v>
      </c>
      <c r="P128" s="478">
        <f t="shared" si="31"/>
        <v>0</v>
      </c>
    </row>
    <row r="129" spans="2:16">
      <c r="B129" s="160" t="str">
        <f t="shared" si="32"/>
        <v/>
      </c>
      <c r="C129" s="472">
        <f>IF(D93="","-",+C128+1)</f>
        <v>2039</v>
      </c>
      <c r="D129" s="347">
        <f>IF(F128+SUM(E$99:E128)=D$92,F128,D$92-SUM(E$99:E128))</f>
        <v>1502028.1399999997</v>
      </c>
      <c r="E129" s="486">
        <f>IF(+J96&lt;F128,J96,D129)</f>
        <v>114363</v>
      </c>
      <c r="F129" s="485">
        <f t="shared" si="39"/>
        <v>1387665.1399999997</v>
      </c>
      <c r="G129" s="485">
        <f t="shared" si="40"/>
        <v>1444846.6399999997</v>
      </c>
      <c r="H129" s="486">
        <f t="shared" si="41"/>
        <v>278776.13466772588</v>
      </c>
      <c r="I129" s="542">
        <f t="shared" si="42"/>
        <v>278776.13466772588</v>
      </c>
      <c r="J129" s="478">
        <f t="shared" si="26"/>
        <v>0</v>
      </c>
      <c r="K129" s="478"/>
      <c r="L129" s="487"/>
      <c r="M129" s="478">
        <f t="shared" si="28"/>
        <v>0</v>
      </c>
      <c r="N129" s="487"/>
      <c r="O129" s="478">
        <f t="shared" si="30"/>
        <v>0</v>
      </c>
      <c r="P129" s="478">
        <f t="shared" si="31"/>
        <v>0</v>
      </c>
    </row>
    <row r="130" spans="2:16">
      <c r="B130" s="160" t="str">
        <f t="shared" si="32"/>
        <v/>
      </c>
      <c r="C130" s="472">
        <f>IF(D93="","-",+C129+1)</f>
        <v>2040</v>
      </c>
      <c r="D130" s="347">
        <f>IF(F129+SUM(E$99:E129)=D$92,F129,D$92-SUM(E$99:E129))</f>
        <v>1387665.1399999997</v>
      </c>
      <c r="E130" s="486">
        <f>IF(+J96&lt;F129,J96,D130)</f>
        <v>114363</v>
      </c>
      <c r="F130" s="485">
        <f t="shared" si="39"/>
        <v>1273302.1399999997</v>
      </c>
      <c r="G130" s="485">
        <f t="shared" si="40"/>
        <v>1330483.6399999997</v>
      </c>
      <c r="H130" s="486">
        <f t="shared" si="41"/>
        <v>265762.44947826857</v>
      </c>
      <c r="I130" s="542">
        <f t="shared" si="42"/>
        <v>265762.44947826857</v>
      </c>
      <c r="J130" s="478">
        <f t="shared" si="26"/>
        <v>0</v>
      </c>
      <c r="K130" s="478"/>
      <c r="L130" s="487"/>
      <c r="M130" s="478">
        <f t="shared" si="28"/>
        <v>0</v>
      </c>
      <c r="N130" s="487"/>
      <c r="O130" s="478">
        <f t="shared" si="30"/>
        <v>0</v>
      </c>
      <c r="P130" s="478">
        <f t="shared" si="31"/>
        <v>0</v>
      </c>
    </row>
    <row r="131" spans="2:16">
      <c r="B131" s="160" t="str">
        <f t="shared" si="32"/>
        <v/>
      </c>
      <c r="C131" s="472">
        <f>IF(D93="","-",+C130+1)</f>
        <v>2041</v>
      </c>
      <c r="D131" s="347">
        <f>IF(F130+SUM(E$99:E130)=D$92,F130,D$92-SUM(E$99:E130))</f>
        <v>1273302.1399999997</v>
      </c>
      <c r="E131" s="486">
        <f>IF(+J96&lt;F130,J96,D131)</f>
        <v>114363</v>
      </c>
      <c r="F131" s="485">
        <f t="shared" ref="F131:F154" si="43">+D131-E131</f>
        <v>1158939.1399999997</v>
      </c>
      <c r="G131" s="485">
        <f t="shared" ref="G131:G154" si="44">+(F131+D131)/2</f>
        <v>1216120.6399999997</v>
      </c>
      <c r="H131" s="486">
        <f t="shared" si="41"/>
        <v>252748.76428881128</v>
      </c>
      <c r="I131" s="542">
        <f t="shared" si="42"/>
        <v>252748.76428881128</v>
      </c>
      <c r="J131" s="478">
        <f t="shared" ref="J131:J154" si="45">+I131-H131</f>
        <v>0</v>
      </c>
      <c r="K131" s="478"/>
      <c r="L131" s="487"/>
      <c r="M131" s="478">
        <f t="shared" ref="M131:M154" si="46">IF(L131&lt;&gt;0,+H131-L131,0)</f>
        <v>0</v>
      </c>
      <c r="N131" s="487"/>
      <c r="O131" s="478">
        <f t="shared" ref="O131:O154" si="47">IF(N131&lt;&gt;0,+I131-N131,0)</f>
        <v>0</v>
      </c>
      <c r="P131" s="478">
        <f t="shared" ref="P131:P154" si="48">+O131-M131</f>
        <v>0</v>
      </c>
    </row>
    <row r="132" spans="2:16">
      <c r="B132" s="160" t="str">
        <f t="shared" si="32"/>
        <v/>
      </c>
      <c r="C132" s="472">
        <f>IF(D93="","-",+C131+1)</f>
        <v>2042</v>
      </c>
      <c r="D132" s="347">
        <f>IF(F131+SUM(E$99:E131)=D$92,F131,D$92-SUM(E$99:E131))</f>
        <v>1158939.1399999997</v>
      </c>
      <c r="E132" s="486">
        <f>IF(+J96&lt;F131,J96,D132)</f>
        <v>114363</v>
      </c>
      <c r="F132" s="485">
        <f t="shared" si="43"/>
        <v>1044576.1399999997</v>
      </c>
      <c r="G132" s="485">
        <f t="shared" si="44"/>
        <v>1101757.6399999997</v>
      </c>
      <c r="H132" s="486">
        <f t="shared" si="41"/>
        <v>239735.07909935398</v>
      </c>
      <c r="I132" s="542">
        <f t="shared" si="42"/>
        <v>239735.07909935398</v>
      </c>
      <c r="J132" s="478">
        <f t="shared" si="45"/>
        <v>0</v>
      </c>
      <c r="K132" s="478"/>
      <c r="L132" s="487"/>
      <c r="M132" s="478">
        <f t="shared" si="46"/>
        <v>0</v>
      </c>
      <c r="N132" s="487"/>
      <c r="O132" s="478">
        <f t="shared" si="47"/>
        <v>0</v>
      </c>
      <c r="P132" s="478">
        <f t="shared" si="48"/>
        <v>0</v>
      </c>
    </row>
    <row r="133" spans="2:16">
      <c r="B133" s="160" t="str">
        <f t="shared" si="32"/>
        <v/>
      </c>
      <c r="C133" s="472">
        <f>IF(D93="","-",+C132+1)</f>
        <v>2043</v>
      </c>
      <c r="D133" s="347">
        <f>IF(F132+SUM(E$99:E132)=D$92,F132,D$92-SUM(E$99:E132))</f>
        <v>1044576.1399999997</v>
      </c>
      <c r="E133" s="486">
        <f>IF(+J96&lt;F132,J96,D133)</f>
        <v>114363</v>
      </c>
      <c r="F133" s="485">
        <f t="shared" si="43"/>
        <v>930213.13999999966</v>
      </c>
      <c r="G133" s="485">
        <f t="shared" si="44"/>
        <v>987394.63999999966</v>
      </c>
      <c r="H133" s="486">
        <f t="shared" si="41"/>
        <v>226721.39390989667</v>
      </c>
      <c r="I133" s="542">
        <f t="shared" si="42"/>
        <v>226721.39390989667</v>
      </c>
      <c r="J133" s="478">
        <f t="shared" si="45"/>
        <v>0</v>
      </c>
      <c r="K133" s="478"/>
      <c r="L133" s="487"/>
      <c r="M133" s="478">
        <f t="shared" si="46"/>
        <v>0</v>
      </c>
      <c r="N133" s="487"/>
      <c r="O133" s="478">
        <f t="shared" si="47"/>
        <v>0</v>
      </c>
      <c r="P133" s="478">
        <f t="shared" si="48"/>
        <v>0</v>
      </c>
    </row>
    <row r="134" spans="2:16">
      <c r="B134" s="160" t="str">
        <f t="shared" si="32"/>
        <v/>
      </c>
      <c r="C134" s="472">
        <f>IF(D93="","-",+C133+1)</f>
        <v>2044</v>
      </c>
      <c r="D134" s="347">
        <f>IF(F133+SUM(E$99:E133)=D$92,F133,D$92-SUM(E$99:E133))</f>
        <v>930213.13999999966</v>
      </c>
      <c r="E134" s="486">
        <f>IF(+J96&lt;F133,J96,D134)</f>
        <v>114363</v>
      </c>
      <c r="F134" s="485">
        <f t="shared" si="43"/>
        <v>815850.13999999966</v>
      </c>
      <c r="G134" s="485">
        <f t="shared" si="44"/>
        <v>873031.63999999966</v>
      </c>
      <c r="H134" s="486">
        <f t="shared" si="41"/>
        <v>213707.70872043938</v>
      </c>
      <c r="I134" s="542">
        <f t="shared" si="42"/>
        <v>213707.70872043938</v>
      </c>
      <c r="J134" s="478">
        <f t="shared" si="45"/>
        <v>0</v>
      </c>
      <c r="K134" s="478"/>
      <c r="L134" s="487"/>
      <c r="M134" s="478">
        <f t="shared" si="46"/>
        <v>0</v>
      </c>
      <c r="N134" s="487"/>
      <c r="O134" s="478">
        <f t="shared" si="47"/>
        <v>0</v>
      </c>
      <c r="P134" s="478">
        <f t="shared" si="48"/>
        <v>0</v>
      </c>
    </row>
    <row r="135" spans="2:16">
      <c r="B135" s="160" t="str">
        <f t="shared" si="32"/>
        <v/>
      </c>
      <c r="C135" s="472">
        <f>IF(D93="","-",+C134+1)</f>
        <v>2045</v>
      </c>
      <c r="D135" s="347">
        <f>IF(F134+SUM(E$99:E134)=D$92,F134,D$92-SUM(E$99:E134))</f>
        <v>815850.13999999966</v>
      </c>
      <c r="E135" s="486">
        <f>IF(+J96&lt;F134,J96,D135)</f>
        <v>114363</v>
      </c>
      <c r="F135" s="485">
        <f t="shared" si="43"/>
        <v>701487.13999999966</v>
      </c>
      <c r="G135" s="485">
        <f t="shared" si="44"/>
        <v>758668.63999999966</v>
      </c>
      <c r="H135" s="486">
        <f t="shared" si="41"/>
        <v>200694.02353098209</v>
      </c>
      <c r="I135" s="542">
        <f t="shared" si="42"/>
        <v>200694.02353098209</v>
      </c>
      <c r="J135" s="478">
        <f t="shared" si="45"/>
        <v>0</v>
      </c>
      <c r="K135" s="478"/>
      <c r="L135" s="487"/>
      <c r="M135" s="478">
        <f t="shared" si="46"/>
        <v>0</v>
      </c>
      <c r="N135" s="487"/>
      <c r="O135" s="478">
        <f t="shared" si="47"/>
        <v>0</v>
      </c>
      <c r="P135" s="478">
        <f t="shared" si="48"/>
        <v>0</v>
      </c>
    </row>
    <row r="136" spans="2:16">
      <c r="B136" s="160" t="str">
        <f t="shared" si="32"/>
        <v/>
      </c>
      <c r="C136" s="472">
        <f>IF(D93="","-",+C135+1)</f>
        <v>2046</v>
      </c>
      <c r="D136" s="347">
        <f>IF(F135+SUM(E$99:E135)=D$92,F135,D$92-SUM(E$99:E135))</f>
        <v>701487.13999999966</v>
      </c>
      <c r="E136" s="486">
        <f>IF(+J96&lt;F135,J96,D136)</f>
        <v>114363</v>
      </c>
      <c r="F136" s="485">
        <f t="shared" si="43"/>
        <v>587124.13999999966</v>
      </c>
      <c r="G136" s="485">
        <f t="shared" si="44"/>
        <v>644305.63999999966</v>
      </c>
      <c r="H136" s="486">
        <f t="shared" si="41"/>
        <v>187680.3383415248</v>
      </c>
      <c r="I136" s="542">
        <f t="shared" si="42"/>
        <v>187680.3383415248</v>
      </c>
      <c r="J136" s="478">
        <f t="shared" si="45"/>
        <v>0</v>
      </c>
      <c r="K136" s="478"/>
      <c r="L136" s="487"/>
      <c r="M136" s="478">
        <f t="shared" si="46"/>
        <v>0</v>
      </c>
      <c r="N136" s="487"/>
      <c r="O136" s="478">
        <f t="shared" si="47"/>
        <v>0</v>
      </c>
      <c r="P136" s="478">
        <f t="shared" si="48"/>
        <v>0</v>
      </c>
    </row>
    <row r="137" spans="2:16">
      <c r="B137" s="160" t="str">
        <f t="shared" si="32"/>
        <v/>
      </c>
      <c r="C137" s="472">
        <f>IF(D93="","-",+C136+1)</f>
        <v>2047</v>
      </c>
      <c r="D137" s="347">
        <f>IF(F136+SUM(E$99:E136)=D$92,F136,D$92-SUM(E$99:E136))</f>
        <v>587124.13999999966</v>
      </c>
      <c r="E137" s="486">
        <f>IF(+J96&lt;F136,J96,D137)</f>
        <v>114363</v>
      </c>
      <c r="F137" s="485">
        <f t="shared" si="43"/>
        <v>472761.13999999966</v>
      </c>
      <c r="G137" s="485">
        <f t="shared" si="44"/>
        <v>529942.63999999966</v>
      </c>
      <c r="H137" s="486">
        <f t="shared" si="41"/>
        <v>174666.65315206751</v>
      </c>
      <c r="I137" s="542">
        <f t="shared" si="42"/>
        <v>174666.65315206751</v>
      </c>
      <c r="J137" s="478">
        <f t="shared" si="45"/>
        <v>0</v>
      </c>
      <c r="K137" s="478"/>
      <c r="L137" s="487"/>
      <c r="M137" s="478">
        <f t="shared" si="46"/>
        <v>0</v>
      </c>
      <c r="N137" s="487"/>
      <c r="O137" s="478">
        <f t="shared" si="47"/>
        <v>0</v>
      </c>
      <c r="P137" s="478">
        <f t="shared" si="48"/>
        <v>0</v>
      </c>
    </row>
    <row r="138" spans="2:16">
      <c r="B138" s="160" t="str">
        <f t="shared" si="32"/>
        <v/>
      </c>
      <c r="C138" s="472">
        <f>IF(D93="","-",+C137+1)</f>
        <v>2048</v>
      </c>
      <c r="D138" s="347">
        <f>IF(F137+SUM(E$99:E137)=D$92,F137,D$92-SUM(E$99:E137))</f>
        <v>472761.13999999966</v>
      </c>
      <c r="E138" s="486">
        <f>IF(+J96&lt;F137,J96,D138)</f>
        <v>114363</v>
      </c>
      <c r="F138" s="485">
        <f t="shared" si="43"/>
        <v>358398.13999999966</v>
      </c>
      <c r="G138" s="485">
        <f t="shared" si="44"/>
        <v>415579.63999999966</v>
      </c>
      <c r="H138" s="486">
        <f t="shared" si="41"/>
        <v>161652.96796261019</v>
      </c>
      <c r="I138" s="542">
        <f t="shared" si="42"/>
        <v>161652.96796261019</v>
      </c>
      <c r="J138" s="478">
        <f t="shared" si="45"/>
        <v>0</v>
      </c>
      <c r="K138" s="478"/>
      <c r="L138" s="487"/>
      <c r="M138" s="478">
        <f t="shared" si="46"/>
        <v>0</v>
      </c>
      <c r="N138" s="487"/>
      <c r="O138" s="478">
        <f t="shared" si="47"/>
        <v>0</v>
      </c>
      <c r="P138" s="478">
        <f t="shared" si="48"/>
        <v>0</v>
      </c>
    </row>
    <row r="139" spans="2:16">
      <c r="B139" s="160" t="str">
        <f t="shared" si="32"/>
        <v/>
      </c>
      <c r="C139" s="472">
        <f>IF(D93="","-",+C138+1)</f>
        <v>2049</v>
      </c>
      <c r="D139" s="347">
        <f>IF(F138+SUM(E$99:E138)=D$92,F138,D$92-SUM(E$99:E138))</f>
        <v>358398.13999999966</v>
      </c>
      <c r="E139" s="486">
        <f>IF(+J96&lt;F138,J96,D139)</f>
        <v>114363</v>
      </c>
      <c r="F139" s="485">
        <f t="shared" si="43"/>
        <v>244035.13999999966</v>
      </c>
      <c r="G139" s="485">
        <f t="shared" si="44"/>
        <v>301216.63999999966</v>
      </c>
      <c r="H139" s="486">
        <f t="shared" si="41"/>
        <v>148639.2827731529</v>
      </c>
      <c r="I139" s="542">
        <f t="shared" si="42"/>
        <v>148639.2827731529</v>
      </c>
      <c r="J139" s="478">
        <f t="shared" si="45"/>
        <v>0</v>
      </c>
      <c r="K139" s="478"/>
      <c r="L139" s="487"/>
      <c r="M139" s="478">
        <f t="shared" si="46"/>
        <v>0</v>
      </c>
      <c r="N139" s="487"/>
      <c r="O139" s="478">
        <f t="shared" si="47"/>
        <v>0</v>
      </c>
      <c r="P139" s="478">
        <f t="shared" si="48"/>
        <v>0</v>
      </c>
    </row>
    <row r="140" spans="2:16">
      <c r="B140" s="160" t="str">
        <f t="shared" si="32"/>
        <v/>
      </c>
      <c r="C140" s="472">
        <f>IF(D93="","-",+C139+1)</f>
        <v>2050</v>
      </c>
      <c r="D140" s="347">
        <f>IF(F139+SUM(E$99:E139)=D$92,F139,D$92-SUM(E$99:E139))</f>
        <v>244035.13999999966</v>
      </c>
      <c r="E140" s="486">
        <f>IF(+J96&lt;F139,J96,D140)</f>
        <v>114363</v>
      </c>
      <c r="F140" s="485">
        <f t="shared" si="43"/>
        <v>129672.13999999966</v>
      </c>
      <c r="G140" s="485">
        <f t="shared" si="44"/>
        <v>186853.63999999966</v>
      </c>
      <c r="H140" s="486">
        <f t="shared" si="41"/>
        <v>135625.59758369561</v>
      </c>
      <c r="I140" s="542">
        <f t="shared" si="42"/>
        <v>135625.59758369561</v>
      </c>
      <c r="J140" s="478">
        <f t="shared" si="45"/>
        <v>0</v>
      </c>
      <c r="K140" s="478"/>
      <c r="L140" s="487"/>
      <c r="M140" s="478">
        <f t="shared" si="46"/>
        <v>0</v>
      </c>
      <c r="N140" s="487"/>
      <c r="O140" s="478">
        <f t="shared" si="47"/>
        <v>0</v>
      </c>
      <c r="P140" s="478">
        <f t="shared" si="48"/>
        <v>0</v>
      </c>
    </row>
    <row r="141" spans="2:16">
      <c r="B141" s="160" t="str">
        <f t="shared" si="32"/>
        <v/>
      </c>
      <c r="C141" s="472">
        <f>IF(D93="","-",+C140+1)</f>
        <v>2051</v>
      </c>
      <c r="D141" s="347">
        <f>IF(F140+SUM(E$99:E140)=D$92,F140,D$92-SUM(E$99:E140))</f>
        <v>129672.13999999966</v>
      </c>
      <c r="E141" s="486">
        <f>IF(+J96&lt;F140,J96,D141)</f>
        <v>114363</v>
      </c>
      <c r="F141" s="485">
        <f t="shared" si="43"/>
        <v>15309.139999999665</v>
      </c>
      <c r="G141" s="485">
        <f t="shared" si="44"/>
        <v>72490.639999999665</v>
      </c>
      <c r="H141" s="486">
        <f t="shared" si="41"/>
        <v>122611.91239423832</v>
      </c>
      <c r="I141" s="542">
        <f t="shared" si="42"/>
        <v>122611.91239423832</v>
      </c>
      <c r="J141" s="478">
        <f t="shared" si="45"/>
        <v>0</v>
      </c>
      <c r="K141" s="478"/>
      <c r="L141" s="487"/>
      <c r="M141" s="478">
        <f t="shared" si="46"/>
        <v>0</v>
      </c>
      <c r="N141" s="487"/>
      <c r="O141" s="478">
        <f t="shared" si="47"/>
        <v>0</v>
      </c>
      <c r="P141" s="478">
        <f t="shared" si="48"/>
        <v>0</v>
      </c>
    </row>
    <row r="142" spans="2:16">
      <c r="B142" s="160" t="str">
        <f t="shared" si="32"/>
        <v/>
      </c>
      <c r="C142" s="472">
        <f>IF(D93="","-",+C141+1)</f>
        <v>2052</v>
      </c>
      <c r="D142" s="347">
        <f>IF(F141+SUM(E$99:E141)=D$92,F141,D$92-SUM(E$99:E141))</f>
        <v>15309.139999999665</v>
      </c>
      <c r="E142" s="486">
        <f>IF(+J96&lt;F141,J96,D142)</f>
        <v>15309.139999999665</v>
      </c>
      <c r="F142" s="485">
        <f t="shared" si="43"/>
        <v>0</v>
      </c>
      <c r="G142" s="485">
        <f t="shared" si="44"/>
        <v>7654.5699999998324</v>
      </c>
      <c r="H142" s="486">
        <f t="shared" si="41"/>
        <v>16180.174899754498</v>
      </c>
      <c r="I142" s="542">
        <f t="shared" si="42"/>
        <v>16180.174899754498</v>
      </c>
      <c r="J142" s="478">
        <f t="shared" si="45"/>
        <v>0</v>
      </c>
      <c r="K142" s="478"/>
      <c r="L142" s="487"/>
      <c r="M142" s="478">
        <f t="shared" si="46"/>
        <v>0</v>
      </c>
      <c r="N142" s="487"/>
      <c r="O142" s="478">
        <f t="shared" si="47"/>
        <v>0</v>
      </c>
      <c r="P142" s="478">
        <f t="shared" si="48"/>
        <v>0</v>
      </c>
    </row>
    <row r="143" spans="2:16">
      <c r="B143" s="160" t="str">
        <f t="shared" si="32"/>
        <v/>
      </c>
      <c r="C143" s="472">
        <f>IF(D93="","-",+C142+1)</f>
        <v>2053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43"/>
        <v>0</v>
      </c>
      <c r="G143" s="485">
        <f t="shared" si="44"/>
        <v>0</v>
      </c>
      <c r="H143" s="486">
        <f t="shared" si="41"/>
        <v>0</v>
      </c>
      <c r="I143" s="542">
        <f t="shared" si="42"/>
        <v>0</v>
      </c>
      <c r="J143" s="478">
        <f t="shared" si="45"/>
        <v>0</v>
      </c>
      <c r="K143" s="478"/>
      <c r="L143" s="487"/>
      <c r="M143" s="478">
        <f t="shared" si="46"/>
        <v>0</v>
      </c>
      <c r="N143" s="487"/>
      <c r="O143" s="478">
        <f t="shared" si="47"/>
        <v>0</v>
      </c>
      <c r="P143" s="478">
        <f t="shared" si="48"/>
        <v>0</v>
      </c>
    </row>
    <row r="144" spans="2:16">
      <c r="B144" s="160" t="str">
        <f t="shared" si="32"/>
        <v/>
      </c>
      <c r="C144" s="472">
        <f>IF(D93="","-",+C143+1)</f>
        <v>2054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43"/>
        <v>0</v>
      </c>
      <c r="G144" s="485">
        <f t="shared" si="44"/>
        <v>0</v>
      </c>
      <c r="H144" s="486">
        <f t="shared" si="41"/>
        <v>0</v>
      </c>
      <c r="I144" s="542">
        <f t="shared" si="42"/>
        <v>0</v>
      </c>
      <c r="J144" s="478">
        <f t="shared" si="45"/>
        <v>0</v>
      </c>
      <c r="K144" s="478"/>
      <c r="L144" s="487"/>
      <c r="M144" s="478">
        <f t="shared" si="46"/>
        <v>0</v>
      </c>
      <c r="N144" s="487"/>
      <c r="O144" s="478">
        <f t="shared" si="47"/>
        <v>0</v>
      </c>
      <c r="P144" s="478">
        <f t="shared" si="48"/>
        <v>0</v>
      </c>
    </row>
    <row r="145" spans="2:16">
      <c r="B145" s="160" t="str">
        <f t="shared" si="32"/>
        <v/>
      </c>
      <c r="C145" s="472">
        <f>IF(D93="","-",+C144+1)</f>
        <v>2055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43"/>
        <v>0</v>
      </c>
      <c r="G145" s="485">
        <f t="shared" si="44"/>
        <v>0</v>
      </c>
      <c r="H145" s="486">
        <f t="shared" si="41"/>
        <v>0</v>
      </c>
      <c r="I145" s="542">
        <f t="shared" si="42"/>
        <v>0</v>
      </c>
      <c r="J145" s="478">
        <f t="shared" si="45"/>
        <v>0</v>
      </c>
      <c r="K145" s="478"/>
      <c r="L145" s="487"/>
      <c r="M145" s="478">
        <f t="shared" si="46"/>
        <v>0</v>
      </c>
      <c r="N145" s="487"/>
      <c r="O145" s="478">
        <f t="shared" si="47"/>
        <v>0</v>
      </c>
      <c r="P145" s="478">
        <f t="shared" si="48"/>
        <v>0</v>
      </c>
    </row>
    <row r="146" spans="2:16">
      <c r="B146" s="160" t="str">
        <f t="shared" si="32"/>
        <v/>
      </c>
      <c r="C146" s="472">
        <f>IF(D93="","-",+C145+1)</f>
        <v>2056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43"/>
        <v>0</v>
      </c>
      <c r="G146" s="485">
        <f t="shared" si="44"/>
        <v>0</v>
      </c>
      <c r="H146" s="486">
        <f t="shared" si="41"/>
        <v>0</v>
      </c>
      <c r="I146" s="542">
        <f t="shared" si="42"/>
        <v>0</v>
      </c>
      <c r="J146" s="478">
        <f t="shared" si="45"/>
        <v>0</v>
      </c>
      <c r="K146" s="478"/>
      <c r="L146" s="487"/>
      <c r="M146" s="478">
        <f t="shared" si="46"/>
        <v>0</v>
      </c>
      <c r="N146" s="487"/>
      <c r="O146" s="478">
        <f t="shared" si="47"/>
        <v>0</v>
      </c>
      <c r="P146" s="478">
        <f t="shared" si="48"/>
        <v>0</v>
      </c>
    </row>
    <row r="147" spans="2:16">
      <c r="B147" s="160" t="str">
        <f t="shared" si="32"/>
        <v/>
      </c>
      <c r="C147" s="472">
        <f>IF(D93="","-",+C146+1)</f>
        <v>2057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43"/>
        <v>0</v>
      </c>
      <c r="G147" s="485">
        <f t="shared" si="44"/>
        <v>0</v>
      </c>
      <c r="H147" s="486">
        <f t="shared" si="41"/>
        <v>0</v>
      </c>
      <c r="I147" s="542">
        <f t="shared" si="42"/>
        <v>0</v>
      </c>
      <c r="J147" s="478">
        <f t="shared" si="45"/>
        <v>0</v>
      </c>
      <c r="K147" s="478"/>
      <c r="L147" s="487"/>
      <c r="M147" s="478">
        <f t="shared" si="46"/>
        <v>0</v>
      </c>
      <c r="N147" s="487"/>
      <c r="O147" s="478">
        <f t="shared" si="47"/>
        <v>0</v>
      </c>
      <c r="P147" s="478">
        <f t="shared" si="48"/>
        <v>0</v>
      </c>
    </row>
    <row r="148" spans="2:16">
      <c r="B148" s="160" t="str">
        <f t="shared" si="32"/>
        <v/>
      </c>
      <c r="C148" s="472">
        <f>IF(D93="","-",+C147+1)</f>
        <v>2058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43"/>
        <v>0</v>
      </c>
      <c r="G148" s="485">
        <f t="shared" si="44"/>
        <v>0</v>
      </c>
      <c r="H148" s="486">
        <f t="shared" si="41"/>
        <v>0</v>
      </c>
      <c r="I148" s="542">
        <f t="shared" si="42"/>
        <v>0</v>
      </c>
      <c r="J148" s="478">
        <f t="shared" si="45"/>
        <v>0</v>
      </c>
      <c r="K148" s="478"/>
      <c r="L148" s="487"/>
      <c r="M148" s="478">
        <f t="shared" si="46"/>
        <v>0</v>
      </c>
      <c r="N148" s="487"/>
      <c r="O148" s="478">
        <f t="shared" si="47"/>
        <v>0</v>
      </c>
      <c r="P148" s="478">
        <f t="shared" si="48"/>
        <v>0</v>
      </c>
    </row>
    <row r="149" spans="2:16">
      <c r="B149" s="160" t="str">
        <f t="shared" si="32"/>
        <v/>
      </c>
      <c r="C149" s="472">
        <f>IF(D93="","-",+C148+1)</f>
        <v>2059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43"/>
        <v>0</v>
      </c>
      <c r="G149" s="485">
        <f t="shared" si="44"/>
        <v>0</v>
      </c>
      <c r="H149" s="486">
        <f t="shared" si="41"/>
        <v>0</v>
      </c>
      <c r="I149" s="542">
        <f t="shared" si="42"/>
        <v>0</v>
      </c>
      <c r="J149" s="478">
        <f t="shared" si="45"/>
        <v>0</v>
      </c>
      <c r="K149" s="478"/>
      <c r="L149" s="487"/>
      <c r="M149" s="478">
        <f t="shared" si="46"/>
        <v>0</v>
      </c>
      <c r="N149" s="487"/>
      <c r="O149" s="478">
        <f t="shared" si="47"/>
        <v>0</v>
      </c>
      <c r="P149" s="478">
        <f t="shared" si="48"/>
        <v>0</v>
      </c>
    </row>
    <row r="150" spans="2:16">
      <c r="B150" s="160" t="str">
        <f t="shared" si="32"/>
        <v/>
      </c>
      <c r="C150" s="472">
        <f>IF(D93="","-",+C149+1)</f>
        <v>2060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43"/>
        <v>0</v>
      </c>
      <c r="G150" s="485">
        <f t="shared" si="44"/>
        <v>0</v>
      </c>
      <c r="H150" s="486">
        <f t="shared" si="41"/>
        <v>0</v>
      </c>
      <c r="I150" s="542">
        <f t="shared" si="42"/>
        <v>0</v>
      </c>
      <c r="J150" s="478">
        <f t="shared" si="45"/>
        <v>0</v>
      </c>
      <c r="K150" s="478"/>
      <c r="L150" s="487"/>
      <c r="M150" s="478">
        <f t="shared" si="46"/>
        <v>0</v>
      </c>
      <c r="N150" s="487"/>
      <c r="O150" s="478">
        <f t="shared" si="47"/>
        <v>0</v>
      </c>
      <c r="P150" s="478">
        <f t="shared" si="48"/>
        <v>0</v>
      </c>
    </row>
    <row r="151" spans="2:16">
      <c r="B151" s="160" t="str">
        <f t="shared" si="32"/>
        <v/>
      </c>
      <c r="C151" s="472">
        <f>IF(D93="","-",+C150+1)</f>
        <v>2061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43"/>
        <v>0</v>
      </c>
      <c r="G151" s="485">
        <f t="shared" si="44"/>
        <v>0</v>
      </c>
      <c r="H151" s="486">
        <f t="shared" si="41"/>
        <v>0</v>
      </c>
      <c r="I151" s="542">
        <f t="shared" si="42"/>
        <v>0</v>
      </c>
      <c r="J151" s="478">
        <f t="shared" si="45"/>
        <v>0</v>
      </c>
      <c r="K151" s="478"/>
      <c r="L151" s="487"/>
      <c r="M151" s="478">
        <f t="shared" si="46"/>
        <v>0</v>
      </c>
      <c r="N151" s="487"/>
      <c r="O151" s="478">
        <f t="shared" si="47"/>
        <v>0</v>
      </c>
      <c r="P151" s="478">
        <f t="shared" si="48"/>
        <v>0</v>
      </c>
    </row>
    <row r="152" spans="2:16">
      <c r="B152" s="160" t="str">
        <f t="shared" si="32"/>
        <v/>
      </c>
      <c r="C152" s="472">
        <f>IF(D93="","-",+C151+1)</f>
        <v>2062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43"/>
        <v>0</v>
      </c>
      <c r="G152" s="485">
        <f t="shared" si="44"/>
        <v>0</v>
      </c>
      <c r="H152" s="486">
        <f t="shared" si="41"/>
        <v>0</v>
      </c>
      <c r="I152" s="542">
        <f t="shared" si="42"/>
        <v>0</v>
      </c>
      <c r="J152" s="478">
        <f t="shared" si="45"/>
        <v>0</v>
      </c>
      <c r="K152" s="478"/>
      <c r="L152" s="487"/>
      <c r="M152" s="478">
        <f t="shared" si="46"/>
        <v>0</v>
      </c>
      <c r="N152" s="487"/>
      <c r="O152" s="478">
        <f t="shared" si="47"/>
        <v>0</v>
      </c>
      <c r="P152" s="478">
        <f t="shared" si="48"/>
        <v>0</v>
      </c>
    </row>
    <row r="153" spans="2:16">
      <c r="B153" s="160" t="str">
        <f t="shared" si="32"/>
        <v/>
      </c>
      <c r="C153" s="472">
        <f>IF(D93="","-",+C152+1)</f>
        <v>2063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43"/>
        <v>0</v>
      </c>
      <c r="G153" s="485">
        <f t="shared" si="44"/>
        <v>0</v>
      </c>
      <c r="H153" s="486">
        <f t="shared" si="41"/>
        <v>0</v>
      </c>
      <c r="I153" s="542">
        <f t="shared" si="42"/>
        <v>0</v>
      </c>
      <c r="J153" s="478">
        <f t="shared" si="45"/>
        <v>0</v>
      </c>
      <c r="K153" s="478"/>
      <c r="L153" s="487"/>
      <c r="M153" s="478">
        <f t="shared" si="46"/>
        <v>0</v>
      </c>
      <c r="N153" s="487"/>
      <c r="O153" s="478">
        <f t="shared" si="47"/>
        <v>0</v>
      </c>
      <c r="P153" s="478">
        <f t="shared" si="48"/>
        <v>0</v>
      </c>
    </row>
    <row r="154" spans="2:16" ht="13.5" thickBot="1">
      <c r="B154" s="160" t="str">
        <f t="shared" si="32"/>
        <v/>
      </c>
      <c r="C154" s="489">
        <f>IF(D93="","-",+C153+1)</f>
        <v>2064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3"/>
        <v>0</v>
      </c>
      <c r="G154" s="490">
        <f t="shared" si="44"/>
        <v>0</v>
      </c>
      <c r="H154" s="490">
        <f t="shared" si="41"/>
        <v>0</v>
      </c>
      <c r="I154" s="545">
        <f t="shared" si="42"/>
        <v>0</v>
      </c>
      <c r="J154" s="495">
        <f t="shared" si="45"/>
        <v>0</v>
      </c>
      <c r="K154" s="478"/>
      <c r="L154" s="494"/>
      <c r="M154" s="495">
        <f t="shared" si="46"/>
        <v>0</v>
      </c>
      <c r="N154" s="494"/>
      <c r="O154" s="495">
        <f t="shared" si="47"/>
        <v>0</v>
      </c>
      <c r="P154" s="495">
        <f t="shared" si="48"/>
        <v>0</v>
      </c>
    </row>
    <row r="155" spans="2:16">
      <c r="C155" s="347" t="s">
        <v>77</v>
      </c>
      <c r="D155" s="348"/>
      <c r="E155" s="348">
        <f>SUM(E99:E154)</f>
        <v>4688896.1399999997</v>
      </c>
      <c r="F155" s="348"/>
      <c r="G155" s="348"/>
      <c r="H155" s="348">
        <f>SUM(H99:H154)</f>
        <v>17341359.753871519</v>
      </c>
      <c r="I155" s="348">
        <f>SUM(I99:I154)</f>
        <v>17341359.753871519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96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60" priority="1" stopIfTrue="1" operator="equal">
      <formula>$I$10</formula>
    </cfRule>
  </conditionalFormatting>
  <conditionalFormatting sqref="C99:C154">
    <cfRule type="cellIs" dxfId="59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1"/>
  <dimension ref="A1:P162"/>
  <sheetViews>
    <sheetView zoomScaleNormal="100" zoomScaleSheetLayoutView="75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3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1182049.5546801805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1182049.5546801805</v>
      </c>
      <c r="O6" s="233"/>
      <c r="P6" s="233"/>
    </row>
    <row r="7" spans="1:16" ht="13.5" thickBot="1">
      <c r="C7" s="431" t="s">
        <v>46</v>
      </c>
      <c r="D7" s="432" t="s">
        <v>208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81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11456065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2009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10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266420.11627906974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C17" s="472">
        <f>IF(D11= "","-",D11)</f>
        <v>2009</v>
      </c>
      <c r="D17" s="473">
        <v>9403820</v>
      </c>
      <c r="E17" s="474">
        <v>29572</v>
      </c>
      <c r="F17" s="473">
        <v>9374248</v>
      </c>
      <c r="G17" s="474">
        <v>388620</v>
      </c>
      <c r="H17" s="474">
        <v>388620</v>
      </c>
      <c r="I17" s="475">
        <f t="shared" ref="I17:I48" si="0">H17-G17</f>
        <v>0</v>
      </c>
      <c r="J17" s="475"/>
      <c r="K17" s="476">
        <v>388620</v>
      </c>
      <c r="L17" s="477">
        <f t="shared" ref="L17:L48" si="1">IF(K17&lt;&gt;0,+G17-K17,0)</f>
        <v>0</v>
      </c>
      <c r="M17" s="476">
        <v>388620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2010</v>
      </c>
      <c r="D18" s="479">
        <v>12236959</v>
      </c>
      <c r="E18" s="480">
        <v>219045</v>
      </c>
      <c r="F18" s="479">
        <v>12017913</v>
      </c>
      <c r="G18" s="480">
        <v>1953188</v>
      </c>
      <c r="H18" s="481">
        <v>1953188</v>
      </c>
      <c r="I18" s="475">
        <f t="shared" si="0"/>
        <v>0</v>
      </c>
      <c r="J18" s="475"/>
      <c r="K18" s="476">
        <f t="shared" ref="K18:K23" si="4">G18</f>
        <v>1953188</v>
      </c>
      <c r="L18" s="550">
        <f t="shared" si="1"/>
        <v>0</v>
      </c>
      <c r="M18" s="476">
        <f t="shared" ref="M18:M23" si="5">H18</f>
        <v>1953188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>IU</v>
      </c>
      <c r="C19" s="472">
        <f>IF(D11="","-",+C18+1)</f>
        <v>2011</v>
      </c>
      <c r="D19" s="479">
        <v>11983531</v>
      </c>
      <c r="E19" s="480">
        <v>239846.03921568627</v>
      </c>
      <c r="F19" s="479">
        <v>11743684.960784314</v>
      </c>
      <c r="G19" s="480">
        <v>2078241.729976739</v>
      </c>
      <c r="H19" s="481">
        <v>2078241.729976739</v>
      </c>
      <c r="I19" s="475">
        <f t="shared" si="0"/>
        <v>0</v>
      </c>
      <c r="J19" s="475"/>
      <c r="K19" s="476">
        <f t="shared" si="4"/>
        <v>2078241.729976739</v>
      </c>
      <c r="L19" s="550">
        <f t="shared" si="1"/>
        <v>0</v>
      </c>
      <c r="M19" s="476">
        <f t="shared" si="5"/>
        <v>2078241.729976739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6">IF(D20=F19,"","IU")</f>
        <v/>
      </c>
      <c r="C20" s="472">
        <f>IF(D11="","-",+C19+1)</f>
        <v>2012</v>
      </c>
      <c r="D20" s="479">
        <v>11743684.960784314</v>
      </c>
      <c r="E20" s="480">
        <v>235233.61538461538</v>
      </c>
      <c r="F20" s="479">
        <v>11508451.345399698</v>
      </c>
      <c r="G20" s="480">
        <v>1837287.5395832672</v>
      </c>
      <c r="H20" s="481">
        <v>1837287.5395832672</v>
      </c>
      <c r="I20" s="475">
        <f t="shared" si="0"/>
        <v>0</v>
      </c>
      <c r="J20" s="475"/>
      <c r="K20" s="476">
        <f t="shared" si="4"/>
        <v>1837287.5395832672</v>
      </c>
      <c r="L20" s="550">
        <f t="shared" si="1"/>
        <v>0</v>
      </c>
      <c r="M20" s="476">
        <f t="shared" si="5"/>
        <v>1837287.5395832672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6"/>
        <v/>
      </c>
      <c r="C21" s="472">
        <f>IF(D12="","-",+C20+1)</f>
        <v>2013</v>
      </c>
      <c r="D21" s="479">
        <v>11508451.345399698</v>
      </c>
      <c r="E21" s="480">
        <v>235233.61538461538</v>
      </c>
      <c r="F21" s="479">
        <v>11273217.730015082</v>
      </c>
      <c r="G21" s="480">
        <v>1845125.3182548014</v>
      </c>
      <c r="H21" s="481">
        <v>1845125.3182548014</v>
      </c>
      <c r="I21" s="475">
        <v>0</v>
      </c>
      <c r="J21" s="475"/>
      <c r="K21" s="476">
        <f t="shared" si="4"/>
        <v>1845125.3182548014</v>
      </c>
      <c r="L21" s="550">
        <f t="shared" ref="L21:L26" si="7">IF(K21&lt;&gt;0,+G21-K21,0)</f>
        <v>0</v>
      </c>
      <c r="M21" s="476">
        <f t="shared" si="5"/>
        <v>1845125.3182548014</v>
      </c>
      <c r="N21" s="478">
        <f t="shared" ref="N21:N26" si="8">IF(M21&lt;&gt;0,+H21-M21,0)</f>
        <v>0</v>
      </c>
      <c r="O21" s="478">
        <f t="shared" ref="O21:O26" si="9">+N21-L21</f>
        <v>0</v>
      </c>
      <c r="P21" s="243"/>
    </row>
    <row r="22" spans="2:16">
      <c r="B22" s="160" t="str">
        <f t="shared" si="6"/>
        <v/>
      </c>
      <c r="C22" s="472">
        <f>IF(D11="","-",+C21+1)</f>
        <v>2014</v>
      </c>
      <c r="D22" s="479">
        <v>11273217.730015082</v>
      </c>
      <c r="E22" s="480">
        <v>235233.61538461538</v>
      </c>
      <c r="F22" s="479">
        <v>11037984.114630466</v>
      </c>
      <c r="G22" s="480">
        <v>1754708.9063952654</v>
      </c>
      <c r="H22" s="481">
        <v>1754708.9063952654</v>
      </c>
      <c r="I22" s="475">
        <v>0</v>
      </c>
      <c r="J22" s="475"/>
      <c r="K22" s="476">
        <f t="shared" si="4"/>
        <v>1754708.9063952654</v>
      </c>
      <c r="L22" s="550">
        <f t="shared" si="7"/>
        <v>0</v>
      </c>
      <c r="M22" s="476">
        <f t="shared" si="5"/>
        <v>1754708.9063952654</v>
      </c>
      <c r="N22" s="478">
        <f t="shared" si="8"/>
        <v>0</v>
      </c>
      <c r="O22" s="478">
        <f t="shared" si="9"/>
        <v>0</v>
      </c>
      <c r="P22" s="243"/>
    </row>
    <row r="23" spans="2:16">
      <c r="B23" s="160" t="str">
        <f t="shared" si="6"/>
        <v>IU</v>
      </c>
      <c r="C23" s="472">
        <f>IF(D11="","-",+C22+1)</f>
        <v>2015</v>
      </c>
      <c r="D23" s="479">
        <v>10261901.114630468</v>
      </c>
      <c r="E23" s="480">
        <v>220308.94230769231</v>
      </c>
      <c r="F23" s="479">
        <v>10041592.172322776</v>
      </c>
      <c r="G23" s="480">
        <v>1604759.8916783908</v>
      </c>
      <c r="H23" s="481">
        <v>1604759.8916783908</v>
      </c>
      <c r="I23" s="475">
        <v>0</v>
      </c>
      <c r="J23" s="475"/>
      <c r="K23" s="476">
        <f t="shared" si="4"/>
        <v>1604759.8916783908</v>
      </c>
      <c r="L23" s="550">
        <f t="shared" si="7"/>
        <v>0</v>
      </c>
      <c r="M23" s="476">
        <f t="shared" si="5"/>
        <v>1604759.8916783908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2016</v>
      </c>
      <c r="D24" s="479">
        <v>10041592.172322776</v>
      </c>
      <c r="E24" s="480">
        <v>220308.94230769231</v>
      </c>
      <c r="F24" s="479">
        <v>9821283.2300150841</v>
      </c>
      <c r="G24" s="480">
        <v>1508464.8564289983</v>
      </c>
      <c r="H24" s="481">
        <v>1508464.8564289983</v>
      </c>
      <c r="I24" s="475">
        <f t="shared" si="0"/>
        <v>0</v>
      </c>
      <c r="J24" s="475"/>
      <c r="K24" s="476">
        <f t="shared" ref="K24:K29" si="10">G24</f>
        <v>1508464.8564289983</v>
      </c>
      <c r="L24" s="550">
        <f t="shared" si="7"/>
        <v>0</v>
      </c>
      <c r="M24" s="476">
        <f t="shared" ref="M24:M29" si="11">H24</f>
        <v>1508464.8564289983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6"/>
        <v/>
      </c>
      <c r="C25" s="472">
        <f>IF(D11="","-",+C24+1)</f>
        <v>2017</v>
      </c>
      <c r="D25" s="479">
        <v>9821283.2300150841</v>
      </c>
      <c r="E25" s="480">
        <v>249044.89130434784</v>
      </c>
      <c r="F25" s="479">
        <v>9572238.3387107365</v>
      </c>
      <c r="G25" s="480">
        <v>1467214.2093174371</v>
      </c>
      <c r="H25" s="481">
        <v>1467214.2093174371</v>
      </c>
      <c r="I25" s="475">
        <f t="shared" si="0"/>
        <v>0</v>
      </c>
      <c r="J25" s="475"/>
      <c r="K25" s="476">
        <f t="shared" si="10"/>
        <v>1467214.2093174371</v>
      </c>
      <c r="L25" s="550">
        <f t="shared" si="7"/>
        <v>0</v>
      </c>
      <c r="M25" s="476">
        <f t="shared" si="11"/>
        <v>1467214.2093174371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>IU</v>
      </c>
      <c r="C26" s="472">
        <f>IF(D11="","-",+C25+1)</f>
        <v>2018</v>
      </c>
      <c r="D26" s="479">
        <v>9545528</v>
      </c>
      <c r="E26" s="480">
        <v>266420</v>
      </c>
      <c r="F26" s="479">
        <v>9279108</v>
      </c>
      <c r="G26" s="480">
        <v>1282995.3057955368</v>
      </c>
      <c r="H26" s="481">
        <v>1282995.3057955368</v>
      </c>
      <c r="I26" s="475">
        <f t="shared" si="0"/>
        <v>0</v>
      </c>
      <c r="J26" s="475"/>
      <c r="K26" s="476">
        <f t="shared" si="10"/>
        <v>1282995.3057955368</v>
      </c>
      <c r="L26" s="550">
        <f t="shared" si="7"/>
        <v>0</v>
      </c>
      <c r="M26" s="476">
        <f t="shared" si="11"/>
        <v>1282995.3057955368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6"/>
        <v/>
      </c>
      <c r="C27" s="472">
        <f>IF(D11="","-",+C26+1)</f>
        <v>2019</v>
      </c>
      <c r="D27" s="479">
        <v>9279108</v>
      </c>
      <c r="E27" s="480">
        <v>266420</v>
      </c>
      <c r="F27" s="479">
        <v>9012688</v>
      </c>
      <c r="G27" s="480">
        <v>1254220.673131187</v>
      </c>
      <c r="H27" s="481">
        <v>1254220.673131187</v>
      </c>
      <c r="I27" s="475">
        <f t="shared" si="0"/>
        <v>0</v>
      </c>
      <c r="J27" s="475"/>
      <c r="K27" s="476">
        <f t="shared" si="10"/>
        <v>1254220.673131187</v>
      </c>
      <c r="L27" s="550">
        <f t="shared" ref="L27" si="12">IF(K27&lt;&gt;0,+G27-K27,0)</f>
        <v>0</v>
      </c>
      <c r="M27" s="476">
        <f t="shared" si="11"/>
        <v>1254220.673131187</v>
      </c>
      <c r="N27" s="478">
        <f t="shared" ref="N27" si="13">IF(M27&lt;&gt;0,+H27-M27,0)</f>
        <v>0</v>
      </c>
      <c r="O27" s="478">
        <f t="shared" ref="O27" si="14">+N27-L27</f>
        <v>0</v>
      </c>
      <c r="P27" s="243"/>
    </row>
    <row r="28" spans="2:16">
      <c r="B28" s="160" t="str">
        <f t="shared" si="6"/>
        <v/>
      </c>
      <c r="C28" s="472">
        <f>IF(D11="","-",+C27+1)</f>
        <v>2020</v>
      </c>
      <c r="D28" s="479">
        <v>9012688</v>
      </c>
      <c r="E28" s="480">
        <v>272763.45238095237</v>
      </c>
      <c r="F28" s="479">
        <v>8739924.5476190485</v>
      </c>
      <c r="G28" s="480">
        <v>1231446.9312681679</v>
      </c>
      <c r="H28" s="481">
        <v>1231446.9312681679</v>
      </c>
      <c r="I28" s="475">
        <f t="shared" si="0"/>
        <v>0</v>
      </c>
      <c r="J28" s="475"/>
      <c r="K28" s="476">
        <f t="shared" si="10"/>
        <v>1231446.9312681679</v>
      </c>
      <c r="L28" s="550">
        <f t="shared" ref="L28" si="15">IF(K28&lt;&gt;0,+G28-K28,0)</f>
        <v>0</v>
      </c>
      <c r="M28" s="476">
        <f t="shared" si="11"/>
        <v>1231446.9312681679</v>
      </c>
      <c r="N28" s="478">
        <f t="shared" si="2"/>
        <v>0</v>
      </c>
      <c r="O28" s="478">
        <f t="shared" si="3"/>
        <v>0</v>
      </c>
      <c r="P28" s="243"/>
    </row>
    <row r="29" spans="2:16">
      <c r="B29" s="160" t="str">
        <f t="shared" si="6"/>
        <v>IU</v>
      </c>
      <c r="C29" s="472">
        <f>IF(D11="","-",+C28+1)</f>
        <v>2021</v>
      </c>
      <c r="D29" s="479">
        <v>8758494.0391075611</v>
      </c>
      <c r="E29" s="480">
        <v>266420.11627906974</v>
      </c>
      <c r="F29" s="479">
        <v>8492073.9228284918</v>
      </c>
      <c r="G29" s="480">
        <v>1182049.5546801805</v>
      </c>
      <c r="H29" s="481">
        <v>1182049.5546801805</v>
      </c>
      <c r="I29" s="475">
        <f t="shared" si="0"/>
        <v>0</v>
      </c>
      <c r="J29" s="475"/>
      <c r="K29" s="476">
        <f t="shared" si="10"/>
        <v>1182049.5546801805</v>
      </c>
      <c r="L29" s="550">
        <f t="shared" ref="L29" si="16">IF(K29&lt;&gt;0,+G29-K29,0)</f>
        <v>0</v>
      </c>
      <c r="M29" s="476">
        <f t="shared" si="11"/>
        <v>1182049.5546801805</v>
      </c>
      <c r="N29" s="478">
        <f t="shared" si="2"/>
        <v>0</v>
      </c>
      <c r="O29" s="478">
        <f t="shared" si="3"/>
        <v>0</v>
      </c>
      <c r="P29" s="243"/>
    </row>
    <row r="30" spans="2:16">
      <c r="B30" s="160" t="str">
        <f t="shared" si="6"/>
        <v>IU</v>
      </c>
      <c r="C30" s="472">
        <f>IF(D11="","-",+C29+1)</f>
        <v>2022</v>
      </c>
      <c r="D30" s="485">
        <f>IF(F29+SUM(E$17:E29)=D$10,F29,D$10-SUM(E$17:E29))</f>
        <v>8500214.7700507138</v>
      </c>
      <c r="E30" s="484">
        <f>IF(+I14&lt;F29,I14,D30)</f>
        <v>266420.11627906974</v>
      </c>
      <c r="F30" s="485">
        <f t="shared" ref="F30:F72" si="17">+D30-E30</f>
        <v>8233794.6537716445</v>
      </c>
      <c r="G30" s="486">
        <f t="shared" ref="G30:G72" si="18">(D30+F30)/2*I$12+E30</f>
        <v>1229097.0155081053</v>
      </c>
      <c r="H30" s="455">
        <f t="shared" ref="H30:H72" si="19">+(D30+F30)/2*I$13+E30</f>
        <v>1229097.0155081053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6"/>
        <v/>
      </c>
      <c r="C31" s="472">
        <f>IF(D11="","-",+C30+1)</f>
        <v>2023</v>
      </c>
      <c r="D31" s="485">
        <f>IF(F30+SUM(E$17:E30)=D$10,F30,D$10-SUM(E$17:E30))</f>
        <v>8233794.6537716445</v>
      </c>
      <c r="E31" s="484">
        <f>IF(+I14&lt;F30,I14,D31)</f>
        <v>266420.11627906974</v>
      </c>
      <c r="F31" s="485">
        <f t="shared" si="17"/>
        <v>7967374.5374925751</v>
      </c>
      <c r="G31" s="486">
        <f t="shared" si="18"/>
        <v>1198443.69329034</v>
      </c>
      <c r="H31" s="455">
        <f t="shared" si="19"/>
        <v>1198443.69329034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6"/>
        <v/>
      </c>
      <c r="C32" s="472">
        <f>IF(D11="","-",+C31+1)</f>
        <v>2024</v>
      </c>
      <c r="D32" s="485">
        <f>IF(F31+SUM(E$17:E31)=D$10,F31,D$10-SUM(E$17:E31))</f>
        <v>7967374.5374925751</v>
      </c>
      <c r="E32" s="484">
        <f>IF(+I14&lt;F31,I14,D32)</f>
        <v>266420.11627906974</v>
      </c>
      <c r="F32" s="485">
        <f t="shared" si="17"/>
        <v>7700954.4212135058</v>
      </c>
      <c r="G32" s="486">
        <f t="shared" si="18"/>
        <v>1167790.3710725748</v>
      </c>
      <c r="H32" s="455">
        <f t="shared" si="19"/>
        <v>1167790.3710725748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6"/>
        <v/>
      </c>
      <c r="C33" s="472">
        <f>IF(D11="","-",+C32+1)</f>
        <v>2025</v>
      </c>
      <c r="D33" s="485">
        <f>IF(F32+SUM(E$17:E32)=D$10,F32,D$10-SUM(E$17:E32))</f>
        <v>7700954.4212135058</v>
      </c>
      <c r="E33" s="484">
        <f>IF(+I14&lt;F32,I14,D33)</f>
        <v>266420.11627906974</v>
      </c>
      <c r="F33" s="485">
        <f t="shared" si="17"/>
        <v>7434534.3049344365</v>
      </c>
      <c r="G33" s="486">
        <f t="shared" si="18"/>
        <v>1137137.0488548095</v>
      </c>
      <c r="H33" s="455">
        <f t="shared" si="19"/>
        <v>1137137.0488548095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6"/>
        <v/>
      </c>
      <c r="C34" s="472">
        <f>IF(D11="","-",+C33+1)</f>
        <v>2026</v>
      </c>
      <c r="D34" s="485">
        <f>IF(F33+SUM(E$17:E33)=D$10,F33,D$10-SUM(E$17:E33))</f>
        <v>7434534.3049344365</v>
      </c>
      <c r="E34" s="484">
        <f>IF(+I14&lt;F33,I14,D34)</f>
        <v>266420.11627906974</v>
      </c>
      <c r="F34" s="485">
        <f t="shared" si="17"/>
        <v>7168114.1886553671</v>
      </c>
      <c r="G34" s="486">
        <f t="shared" si="18"/>
        <v>1106483.7266370442</v>
      </c>
      <c r="H34" s="455">
        <f t="shared" si="19"/>
        <v>1106483.7266370442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6"/>
        <v/>
      </c>
      <c r="C35" s="472">
        <f>IF(D11="","-",+C34+1)</f>
        <v>2027</v>
      </c>
      <c r="D35" s="485">
        <f>IF(F34+SUM(E$17:E34)=D$10,F34,D$10-SUM(E$17:E34))</f>
        <v>7168114.1886553671</v>
      </c>
      <c r="E35" s="484">
        <f>IF(+I14&lt;F34,I14,D35)</f>
        <v>266420.11627906974</v>
      </c>
      <c r="F35" s="485">
        <f t="shared" si="17"/>
        <v>6901694.0723762978</v>
      </c>
      <c r="G35" s="486">
        <f t="shared" si="18"/>
        <v>1075830.404419279</v>
      </c>
      <c r="H35" s="455">
        <f t="shared" si="19"/>
        <v>1075830.404419279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6"/>
        <v/>
      </c>
      <c r="C36" s="472">
        <f>IF(D11="","-",+C35+1)</f>
        <v>2028</v>
      </c>
      <c r="D36" s="485">
        <f>IF(F35+SUM(E$17:E35)=D$10,F35,D$10-SUM(E$17:E35))</f>
        <v>6901694.0723762978</v>
      </c>
      <c r="E36" s="484">
        <f>IF(+I14&lt;F35,I14,D36)</f>
        <v>266420.11627906974</v>
      </c>
      <c r="F36" s="485">
        <f t="shared" si="17"/>
        <v>6635273.9560972285</v>
      </c>
      <c r="G36" s="486">
        <f t="shared" si="18"/>
        <v>1045177.0822015137</v>
      </c>
      <c r="H36" s="455">
        <f t="shared" si="19"/>
        <v>1045177.0822015137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6"/>
        <v/>
      </c>
      <c r="C37" s="472">
        <f>IF(D11="","-",+C36+1)</f>
        <v>2029</v>
      </c>
      <c r="D37" s="485">
        <f>IF(F36+SUM(E$17:E36)=D$10,F36,D$10-SUM(E$17:E36))</f>
        <v>6635273.9560972285</v>
      </c>
      <c r="E37" s="484">
        <f>IF(+I14&lt;F36,I14,D37)</f>
        <v>266420.11627906974</v>
      </c>
      <c r="F37" s="485">
        <f t="shared" si="17"/>
        <v>6368853.8398181591</v>
      </c>
      <c r="G37" s="486">
        <f t="shared" si="18"/>
        <v>1014523.7599837484</v>
      </c>
      <c r="H37" s="455">
        <f t="shared" si="19"/>
        <v>1014523.7599837484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6"/>
        <v/>
      </c>
      <c r="C38" s="472">
        <f>IF(D11="","-",+C37+1)</f>
        <v>2030</v>
      </c>
      <c r="D38" s="485">
        <f>IF(F37+SUM(E$17:E37)=D$10,F37,D$10-SUM(E$17:E37))</f>
        <v>6368853.8398181591</v>
      </c>
      <c r="E38" s="484">
        <f>IF(+I14&lt;F37,I14,D38)</f>
        <v>266420.11627906974</v>
      </c>
      <c r="F38" s="485">
        <f t="shared" si="17"/>
        <v>6102433.7235390898</v>
      </c>
      <c r="G38" s="486">
        <f t="shared" si="18"/>
        <v>983870.43776598317</v>
      </c>
      <c r="H38" s="455">
        <f t="shared" si="19"/>
        <v>983870.43776598317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6"/>
        <v/>
      </c>
      <c r="C39" s="472">
        <f>IF(D11="","-",+C38+1)</f>
        <v>2031</v>
      </c>
      <c r="D39" s="485">
        <f>IF(F38+SUM(E$17:E38)=D$10,F38,D$10-SUM(E$17:E38))</f>
        <v>6102433.7235390898</v>
      </c>
      <c r="E39" s="484">
        <f>IF(+I14&lt;F38,I14,D39)</f>
        <v>266420.11627906974</v>
      </c>
      <c r="F39" s="485">
        <f t="shared" si="17"/>
        <v>5836013.6072600204</v>
      </c>
      <c r="G39" s="486">
        <f t="shared" si="18"/>
        <v>953217.1155482179</v>
      </c>
      <c r="H39" s="455">
        <f t="shared" si="19"/>
        <v>953217.1155482179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6"/>
        <v/>
      </c>
      <c r="C40" s="472">
        <f>IF(D11="","-",+C39+1)</f>
        <v>2032</v>
      </c>
      <c r="D40" s="485">
        <f>IF(F39+SUM(E$17:E39)=D$10,F39,D$10-SUM(E$17:E39))</f>
        <v>5836013.6072600204</v>
      </c>
      <c r="E40" s="484">
        <f>IF(+I14&lt;F39,I14,D40)</f>
        <v>266420.11627906974</v>
      </c>
      <c r="F40" s="485">
        <f t="shared" si="17"/>
        <v>5569593.4909809511</v>
      </c>
      <c r="G40" s="486">
        <f t="shared" si="18"/>
        <v>922563.79333045264</v>
      </c>
      <c r="H40" s="455">
        <f t="shared" si="19"/>
        <v>922563.79333045264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6"/>
        <v/>
      </c>
      <c r="C41" s="472">
        <f>IF(D11="","-",+C40+1)</f>
        <v>2033</v>
      </c>
      <c r="D41" s="485">
        <f>IF(F40+SUM(E$17:E40)=D$10,F40,D$10-SUM(E$17:E40))</f>
        <v>5569593.4909809511</v>
      </c>
      <c r="E41" s="484">
        <f>IF(+I14&lt;F40,I14,D41)</f>
        <v>266420.11627906974</v>
      </c>
      <c r="F41" s="485">
        <f t="shared" si="17"/>
        <v>5303173.3747018818</v>
      </c>
      <c r="G41" s="486">
        <f t="shared" si="18"/>
        <v>891910.47111268737</v>
      </c>
      <c r="H41" s="455">
        <f t="shared" si="19"/>
        <v>891910.47111268737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6"/>
        <v/>
      </c>
      <c r="C42" s="472">
        <f>IF(D11="","-",+C41+1)</f>
        <v>2034</v>
      </c>
      <c r="D42" s="485">
        <f>IF(F41+SUM(E$17:E41)=D$10,F41,D$10-SUM(E$17:E41))</f>
        <v>5303173.3747018818</v>
      </c>
      <c r="E42" s="484">
        <f>IF(+I14&lt;F41,I14,D42)</f>
        <v>266420.11627906974</v>
      </c>
      <c r="F42" s="485">
        <f t="shared" si="17"/>
        <v>5036753.2584228124</v>
      </c>
      <c r="G42" s="486">
        <f t="shared" si="18"/>
        <v>861257.14889492211</v>
      </c>
      <c r="H42" s="455">
        <f t="shared" si="19"/>
        <v>861257.14889492211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6"/>
        <v/>
      </c>
      <c r="C43" s="472">
        <f>IF(D11="","-",+C42+1)</f>
        <v>2035</v>
      </c>
      <c r="D43" s="485">
        <f>IF(F42+SUM(E$17:E42)=D$10,F42,D$10-SUM(E$17:E42))</f>
        <v>5036753.2584228124</v>
      </c>
      <c r="E43" s="484">
        <f>IF(+I14&lt;F42,I14,D43)</f>
        <v>266420.11627906974</v>
      </c>
      <c r="F43" s="485">
        <f t="shared" si="17"/>
        <v>4770333.1421437431</v>
      </c>
      <c r="G43" s="486">
        <f t="shared" si="18"/>
        <v>830603.82667715685</v>
      </c>
      <c r="H43" s="455">
        <f t="shared" si="19"/>
        <v>830603.82667715685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6"/>
        <v/>
      </c>
      <c r="C44" s="472">
        <f>IF(D11="","-",+C43+1)</f>
        <v>2036</v>
      </c>
      <c r="D44" s="485">
        <f>IF(F43+SUM(E$17:E43)=D$10,F43,D$10-SUM(E$17:E43))</f>
        <v>4770333.1421437431</v>
      </c>
      <c r="E44" s="484">
        <f>IF(+I14&lt;F43,I14,D44)</f>
        <v>266420.11627906974</v>
      </c>
      <c r="F44" s="485">
        <f t="shared" si="17"/>
        <v>4503913.0258646738</v>
      </c>
      <c r="G44" s="486">
        <f t="shared" si="18"/>
        <v>799950.50445939158</v>
      </c>
      <c r="H44" s="455">
        <f t="shared" si="19"/>
        <v>799950.50445939158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6"/>
        <v/>
      </c>
      <c r="C45" s="472">
        <f>IF(D11="","-",+C44+1)</f>
        <v>2037</v>
      </c>
      <c r="D45" s="485">
        <f>IF(F44+SUM(E$17:E44)=D$10,F44,D$10-SUM(E$17:E44))</f>
        <v>4503913.0258646738</v>
      </c>
      <c r="E45" s="484">
        <f>IF(+I14&lt;F44,I14,D45)</f>
        <v>266420.11627906974</v>
      </c>
      <c r="F45" s="485">
        <f t="shared" si="17"/>
        <v>4237492.9095856044</v>
      </c>
      <c r="G45" s="486">
        <f t="shared" si="18"/>
        <v>769297.18224162632</v>
      </c>
      <c r="H45" s="455">
        <f t="shared" si="19"/>
        <v>769297.18224162632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6"/>
        <v/>
      </c>
      <c r="C46" s="472">
        <f>IF(D11="","-",+C45+1)</f>
        <v>2038</v>
      </c>
      <c r="D46" s="485">
        <f>IF(F45+SUM(E$17:E45)=D$10,F45,D$10-SUM(E$17:E45))</f>
        <v>4237492.9095856044</v>
      </c>
      <c r="E46" s="484">
        <f>IF(+I14&lt;F45,I14,D46)</f>
        <v>266420.11627906974</v>
      </c>
      <c r="F46" s="485">
        <f t="shared" si="17"/>
        <v>3971072.7933065346</v>
      </c>
      <c r="G46" s="486">
        <f t="shared" si="18"/>
        <v>738643.86002386105</v>
      </c>
      <c r="H46" s="455">
        <f t="shared" si="19"/>
        <v>738643.86002386105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6"/>
        <v/>
      </c>
      <c r="C47" s="472">
        <f>IF(D11="","-",+C46+1)</f>
        <v>2039</v>
      </c>
      <c r="D47" s="485">
        <f>IF(F46+SUM(E$17:E46)=D$10,F46,D$10-SUM(E$17:E46))</f>
        <v>3971072.7933065346</v>
      </c>
      <c r="E47" s="484">
        <f>IF(+I14&lt;F46,I14,D47)</f>
        <v>266420.11627906974</v>
      </c>
      <c r="F47" s="485">
        <f t="shared" si="17"/>
        <v>3704652.6770274648</v>
      </c>
      <c r="G47" s="486">
        <f t="shared" si="18"/>
        <v>707990.53780609579</v>
      </c>
      <c r="H47" s="455">
        <f t="shared" si="19"/>
        <v>707990.53780609579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6"/>
        <v/>
      </c>
      <c r="C48" s="472">
        <f>IF(D11="","-",+C47+1)</f>
        <v>2040</v>
      </c>
      <c r="D48" s="485">
        <f>IF(F47+SUM(E$17:E47)=D$10,F47,D$10-SUM(E$17:E47))</f>
        <v>3704652.6770274648</v>
      </c>
      <c r="E48" s="484">
        <f>IF(+I14&lt;F47,I14,D48)</f>
        <v>266420.11627906974</v>
      </c>
      <c r="F48" s="485">
        <f t="shared" si="17"/>
        <v>3438232.560748395</v>
      </c>
      <c r="G48" s="486">
        <f t="shared" si="18"/>
        <v>677337.21558833052</v>
      </c>
      <c r="H48" s="455">
        <f t="shared" si="19"/>
        <v>677337.21558833052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6"/>
        <v/>
      </c>
      <c r="C49" s="472">
        <f>IF(D11="","-",+C48+1)</f>
        <v>2041</v>
      </c>
      <c r="D49" s="485">
        <f>IF(F48+SUM(E$17:E48)=D$10,F48,D$10-SUM(E$17:E48))</f>
        <v>3438232.560748395</v>
      </c>
      <c r="E49" s="484">
        <f>IF(+I14&lt;F48,I14,D49)</f>
        <v>266420.11627906974</v>
      </c>
      <c r="F49" s="485">
        <f t="shared" si="17"/>
        <v>3171812.4444693252</v>
      </c>
      <c r="G49" s="486">
        <f t="shared" si="18"/>
        <v>646683.89337056503</v>
      </c>
      <c r="H49" s="455">
        <f t="shared" si="19"/>
        <v>646683.89337056503</v>
      </c>
      <c r="I49" s="475">
        <f t="shared" ref="I49:I72" si="20">H303-G303</f>
        <v>0</v>
      </c>
      <c r="J49" s="475"/>
      <c r="K49" s="487"/>
      <c r="L49" s="478">
        <f t="shared" ref="L49:L72" si="21">IF(K303&lt;&gt;0,+G303-K303,0)</f>
        <v>0</v>
      </c>
      <c r="M49" s="487"/>
      <c r="N49" s="478">
        <f t="shared" ref="N49:N72" si="22">IF(M303&lt;&gt;0,+H303-M303,0)</f>
        <v>0</v>
      </c>
      <c r="O49" s="478">
        <f t="shared" ref="O49:O72" si="23">+N303-L303</f>
        <v>0</v>
      </c>
      <c r="P49" s="243"/>
    </row>
    <row r="50" spans="2:16">
      <c r="B50" s="160" t="str">
        <f t="shared" si="6"/>
        <v/>
      </c>
      <c r="C50" s="472">
        <f>IF(D11="","-",+C49+1)</f>
        <v>2042</v>
      </c>
      <c r="D50" s="485">
        <f>IF(F49+SUM(E$17:E49)=D$10,F49,D$10-SUM(E$17:E49))</f>
        <v>3171812.4444693252</v>
      </c>
      <c r="E50" s="484">
        <f>IF(+I14&lt;F49,I14,D50)</f>
        <v>266420.11627906974</v>
      </c>
      <c r="F50" s="485">
        <f t="shared" si="17"/>
        <v>2905392.3281902554</v>
      </c>
      <c r="G50" s="486">
        <f t="shared" si="18"/>
        <v>616030.57115279976</v>
      </c>
      <c r="H50" s="455">
        <f t="shared" si="19"/>
        <v>616030.57115279976</v>
      </c>
      <c r="I50" s="475">
        <f t="shared" si="20"/>
        <v>0</v>
      </c>
      <c r="J50" s="475"/>
      <c r="K50" s="487"/>
      <c r="L50" s="478">
        <f t="shared" si="21"/>
        <v>0</v>
      </c>
      <c r="M50" s="487"/>
      <c r="N50" s="478">
        <f t="shared" si="22"/>
        <v>0</v>
      </c>
      <c r="O50" s="478">
        <f t="shared" si="23"/>
        <v>0</v>
      </c>
      <c r="P50" s="243"/>
    </row>
    <row r="51" spans="2:16">
      <c r="B51" s="160" t="str">
        <f t="shared" si="6"/>
        <v/>
      </c>
      <c r="C51" s="472">
        <f>IF(D11="","-",+C50+1)</f>
        <v>2043</v>
      </c>
      <c r="D51" s="485">
        <f>IF(F50+SUM(E$17:E50)=D$10,F50,D$10-SUM(E$17:E50))</f>
        <v>2905392.3281902554</v>
      </c>
      <c r="E51" s="484">
        <f>IF(+I14&lt;F50,I14,D51)</f>
        <v>266420.11627906974</v>
      </c>
      <c r="F51" s="485">
        <f t="shared" si="17"/>
        <v>2638972.2119111856</v>
      </c>
      <c r="G51" s="486">
        <f t="shared" si="18"/>
        <v>585377.2489350345</v>
      </c>
      <c r="H51" s="455">
        <f t="shared" si="19"/>
        <v>585377.2489350345</v>
      </c>
      <c r="I51" s="475">
        <f t="shared" si="20"/>
        <v>0</v>
      </c>
      <c r="J51" s="475"/>
      <c r="K51" s="487"/>
      <c r="L51" s="478">
        <f t="shared" si="21"/>
        <v>0</v>
      </c>
      <c r="M51" s="487"/>
      <c r="N51" s="478">
        <f t="shared" si="22"/>
        <v>0</v>
      </c>
      <c r="O51" s="478">
        <f t="shared" si="23"/>
        <v>0</v>
      </c>
      <c r="P51" s="243"/>
    </row>
    <row r="52" spans="2:16">
      <c r="B52" s="160" t="str">
        <f t="shared" si="6"/>
        <v/>
      </c>
      <c r="C52" s="472">
        <f>IF(D11="","-",+C51+1)</f>
        <v>2044</v>
      </c>
      <c r="D52" s="485">
        <f>IF(F51+SUM(E$17:E51)=D$10,F51,D$10-SUM(E$17:E51))</f>
        <v>2638972.2119111856</v>
      </c>
      <c r="E52" s="484">
        <f>IF(+I14&lt;F51,I14,D52)</f>
        <v>266420.11627906974</v>
      </c>
      <c r="F52" s="485">
        <f t="shared" si="17"/>
        <v>2372552.0956321158</v>
      </c>
      <c r="G52" s="486">
        <f t="shared" si="18"/>
        <v>554723.92671726923</v>
      </c>
      <c r="H52" s="455">
        <f t="shared" si="19"/>
        <v>554723.92671726923</v>
      </c>
      <c r="I52" s="475">
        <f t="shared" si="20"/>
        <v>0</v>
      </c>
      <c r="J52" s="475"/>
      <c r="K52" s="487"/>
      <c r="L52" s="478">
        <f t="shared" si="21"/>
        <v>0</v>
      </c>
      <c r="M52" s="487"/>
      <c r="N52" s="478">
        <f t="shared" si="22"/>
        <v>0</v>
      </c>
      <c r="O52" s="478">
        <f t="shared" si="23"/>
        <v>0</v>
      </c>
      <c r="P52" s="243"/>
    </row>
    <row r="53" spans="2:16">
      <c r="B53" s="160" t="str">
        <f t="shared" si="6"/>
        <v/>
      </c>
      <c r="C53" s="472">
        <f>IF(D11="","-",+C52+1)</f>
        <v>2045</v>
      </c>
      <c r="D53" s="485">
        <f>IF(F52+SUM(E$17:E52)=D$10,F52,D$10-SUM(E$17:E52))</f>
        <v>2372552.0956321158</v>
      </c>
      <c r="E53" s="484">
        <f>IF(+I14&lt;F52,I14,D53)</f>
        <v>266420.11627906974</v>
      </c>
      <c r="F53" s="485">
        <f t="shared" si="17"/>
        <v>2106131.979353046</v>
      </c>
      <c r="G53" s="486">
        <f t="shared" si="18"/>
        <v>524070.60449950385</v>
      </c>
      <c r="H53" s="455">
        <f t="shared" si="19"/>
        <v>524070.60449950385</v>
      </c>
      <c r="I53" s="475">
        <f t="shared" si="20"/>
        <v>0</v>
      </c>
      <c r="J53" s="475"/>
      <c r="K53" s="487"/>
      <c r="L53" s="478">
        <f t="shared" si="21"/>
        <v>0</v>
      </c>
      <c r="M53" s="487"/>
      <c r="N53" s="478">
        <f t="shared" si="22"/>
        <v>0</v>
      </c>
      <c r="O53" s="478">
        <f t="shared" si="23"/>
        <v>0</v>
      </c>
      <c r="P53" s="243"/>
    </row>
    <row r="54" spans="2:16">
      <c r="B54" s="160" t="str">
        <f t="shared" si="6"/>
        <v/>
      </c>
      <c r="C54" s="472">
        <f>IF(D11="","-",+C53+1)</f>
        <v>2046</v>
      </c>
      <c r="D54" s="485">
        <f>IF(F53+SUM(E$17:E53)=D$10,F53,D$10-SUM(E$17:E53))</f>
        <v>2106131.979353046</v>
      </c>
      <c r="E54" s="484">
        <f>IF(+I14&lt;F53,I14,D54)</f>
        <v>266420.11627906974</v>
      </c>
      <c r="F54" s="485">
        <f t="shared" si="17"/>
        <v>1839711.8630739762</v>
      </c>
      <c r="G54" s="486">
        <f t="shared" si="18"/>
        <v>493417.28228173859</v>
      </c>
      <c r="H54" s="455">
        <f t="shared" si="19"/>
        <v>493417.28228173859</v>
      </c>
      <c r="I54" s="475">
        <f t="shared" si="20"/>
        <v>0</v>
      </c>
      <c r="J54" s="475"/>
      <c r="K54" s="487"/>
      <c r="L54" s="478">
        <f t="shared" si="21"/>
        <v>0</v>
      </c>
      <c r="M54" s="487"/>
      <c r="N54" s="478">
        <f t="shared" si="22"/>
        <v>0</v>
      </c>
      <c r="O54" s="478">
        <f t="shared" si="23"/>
        <v>0</v>
      </c>
      <c r="P54" s="243"/>
    </row>
    <row r="55" spans="2:16">
      <c r="B55" s="160" t="str">
        <f t="shared" si="6"/>
        <v/>
      </c>
      <c r="C55" s="472">
        <f>IF(D11="","-",+C54+1)</f>
        <v>2047</v>
      </c>
      <c r="D55" s="485">
        <f>IF(F54+SUM(E$17:E54)=D$10,F54,D$10-SUM(E$17:E54))</f>
        <v>1839711.8630739762</v>
      </c>
      <c r="E55" s="484">
        <f>IF(+I14&lt;F54,I14,D55)</f>
        <v>266420.11627906974</v>
      </c>
      <c r="F55" s="485">
        <f t="shared" si="17"/>
        <v>1573291.7467949064</v>
      </c>
      <c r="G55" s="486">
        <f t="shared" si="18"/>
        <v>462763.96006397327</v>
      </c>
      <c r="H55" s="455">
        <f t="shared" si="19"/>
        <v>462763.96006397327</v>
      </c>
      <c r="I55" s="475">
        <f t="shared" si="20"/>
        <v>0</v>
      </c>
      <c r="J55" s="475"/>
      <c r="K55" s="487"/>
      <c r="L55" s="478">
        <f t="shared" si="21"/>
        <v>0</v>
      </c>
      <c r="M55" s="487"/>
      <c r="N55" s="478">
        <f t="shared" si="22"/>
        <v>0</v>
      </c>
      <c r="O55" s="478">
        <f t="shared" si="23"/>
        <v>0</v>
      </c>
      <c r="P55" s="243"/>
    </row>
    <row r="56" spans="2:16">
      <c r="B56" s="160" t="str">
        <f t="shared" si="6"/>
        <v/>
      </c>
      <c r="C56" s="472">
        <f>IF(D11="","-",+C55+1)</f>
        <v>2048</v>
      </c>
      <c r="D56" s="485">
        <f>IF(F55+SUM(E$17:E55)=D$10,F55,D$10-SUM(E$17:E55))</f>
        <v>1573291.7467949064</v>
      </c>
      <c r="E56" s="484">
        <f>IF(+I14&lt;F55,I14,D56)</f>
        <v>266420.11627906974</v>
      </c>
      <c r="F56" s="485">
        <f t="shared" si="17"/>
        <v>1306871.6305158366</v>
      </c>
      <c r="G56" s="486">
        <f t="shared" si="18"/>
        <v>432110.63784620794</v>
      </c>
      <c r="H56" s="455">
        <f t="shared" si="19"/>
        <v>432110.63784620794</v>
      </c>
      <c r="I56" s="475">
        <f t="shared" si="20"/>
        <v>0</v>
      </c>
      <c r="J56" s="475"/>
      <c r="K56" s="487"/>
      <c r="L56" s="478">
        <f t="shared" si="21"/>
        <v>0</v>
      </c>
      <c r="M56" s="487"/>
      <c r="N56" s="478">
        <f t="shared" si="22"/>
        <v>0</v>
      </c>
      <c r="O56" s="478">
        <f t="shared" si="23"/>
        <v>0</v>
      </c>
      <c r="P56" s="243"/>
    </row>
    <row r="57" spans="2:16">
      <c r="B57" s="160" t="str">
        <f t="shared" si="6"/>
        <v/>
      </c>
      <c r="C57" s="472">
        <f>IF(D11="","-",+C56+1)</f>
        <v>2049</v>
      </c>
      <c r="D57" s="485">
        <f>IF(F56+SUM(E$17:E56)=D$10,F56,D$10-SUM(E$17:E56))</f>
        <v>1306871.6305158366</v>
      </c>
      <c r="E57" s="484">
        <f>IF(+I14&lt;F56,I14,D57)</f>
        <v>266420.11627906974</v>
      </c>
      <c r="F57" s="485">
        <f t="shared" si="17"/>
        <v>1040451.5142367668</v>
      </c>
      <c r="G57" s="486">
        <f t="shared" si="18"/>
        <v>401457.31562844268</v>
      </c>
      <c r="H57" s="455">
        <f t="shared" si="19"/>
        <v>401457.31562844268</v>
      </c>
      <c r="I57" s="475">
        <f t="shared" si="20"/>
        <v>0</v>
      </c>
      <c r="J57" s="475"/>
      <c r="K57" s="487"/>
      <c r="L57" s="478">
        <f t="shared" si="21"/>
        <v>0</v>
      </c>
      <c r="M57" s="487"/>
      <c r="N57" s="478">
        <f t="shared" si="22"/>
        <v>0</v>
      </c>
      <c r="O57" s="478">
        <f t="shared" si="23"/>
        <v>0</v>
      </c>
      <c r="P57" s="243"/>
    </row>
    <row r="58" spans="2:16">
      <c r="B58" s="160" t="str">
        <f t="shared" si="6"/>
        <v/>
      </c>
      <c r="C58" s="472">
        <f>IF(D11="","-",+C57+1)</f>
        <v>2050</v>
      </c>
      <c r="D58" s="485">
        <f>IF(F57+SUM(E$17:E57)=D$10,F57,D$10-SUM(E$17:E57))</f>
        <v>1040451.5142367668</v>
      </c>
      <c r="E58" s="484">
        <f>IF(+I14&lt;F57,I14,D58)</f>
        <v>266420.11627906974</v>
      </c>
      <c r="F58" s="485">
        <f t="shared" si="17"/>
        <v>774031.39795769705</v>
      </c>
      <c r="G58" s="486">
        <f t="shared" si="18"/>
        <v>370803.99341067736</v>
      </c>
      <c r="H58" s="455">
        <f t="shared" si="19"/>
        <v>370803.99341067736</v>
      </c>
      <c r="I58" s="475">
        <f t="shared" si="20"/>
        <v>0</v>
      </c>
      <c r="J58" s="475"/>
      <c r="K58" s="487"/>
      <c r="L58" s="478">
        <f t="shared" si="21"/>
        <v>0</v>
      </c>
      <c r="M58" s="487"/>
      <c r="N58" s="478">
        <f t="shared" si="22"/>
        <v>0</v>
      </c>
      <c r="O58" s="478">
        <f t="shared" si="23"/>
        <v>0</v>
      </c>
      <c r="P58" s="243"/>
    </row>
    <row r="59" spans="2:16">
      <c r="B59" s="160" t="str">
        <f t="shared" si="6"/>
        <v/>
      </c>
      <c r="C59" s="472">
        <f>IF(D11="","-",+C58+1)</f>
        <v>2051</v>
      </c>
      <c r="D59" s="485">
        <f>IF(F58+SUM(E$17:E58)=D$10,F58,D$10-SUM(E$17:E58))</f>
        <v>774031.39795769705</v>
      </c>
      <c r="E59" s="484">
        <f>IF(+I14&lt;F58,I14,D59)</f>
        <v>266420.11627906974</v>
      </c>
      <c r="F59" s="485">
        <f t="shared" si="17"/>
        <v>507611.2816786273</v>
      </c>
      <c r="G59" s="486">
        <f t="shared" si="18"/>
        <v>340150.67119291204</v>
      </c>
      <c r="H59" s="455">
        <f t="shared" si="19"/>
        <v>340150.67119291204</v>
      </c>
      <c r="I59" s="475">
        <f t="shared" si="20"/>
        <v>0</v>
      </c>
      <c r="J59" s="475"/>
      <c r="K59" s="487"/>
      <c r="L59" s="478">
        <f t="shared" si="21"/>
        <v>0</v>
      </c>
      <c r="M59" s="487"/>
      <c r="N59" s="478">
        <f t="shared" si="22"/>
        <v>0</v>
      </c>
      <c r="O59" s="478">
        <f t="shared" si="23"/>
        <v>0</v>
      </c>
      <c r="P59" s="243"/>
    </row>
    <row r="60" spans="2:16">
      <c r="B60" s="160" t="str">
        <f t="shared" si="6"/>
        <v/>
      </c>
      <c r="C60" s="472">
        <f>IF(D11="","-",+C59+1)</f>
        <v>2052</v>
      </c>
      <c r="D60" s="485">
        <f>IF(F59+SUM(E$17:E59)=D$10,F59,D$10-SUM(E$17:E59))</f>
        <v>507611.2816786273</v>
      </c>
      <c r="E60" s="484">
        <f>IF(+I14&lt;F59,I14,D60)</f>
        <v>266420.11627906974</v>
      </c>
      <c r="F60" s="485">
        <f t="shared" si="17"/>
        <v>241191.16539955756</v>
      </c>
      <c r="G60" s="486">
        <f t="shared" si="18"/>
        <v>309497.34897514671</v>
      </c>
      <c r="H60" s="455">
        <f t="shared" si="19"/>
        <v>309497.34897514671</v>
      </c>
      <c r="I60" s="475">
        <f t="shared" si="20"/>
        <v>0</v>
      </c>
      <c r="J60" s="475"/>
      <c r="K60" s="487"/>
      <c r="L60" s="478">
        <f t="shared" si="21"/>
        <v>0</v>
      </c>
      <c r="M60" s="487"/>
      <c r="N60" s="478">
        <f t="shared" si="22"/>
        <v>0</v>
      </c>
      <c r="O60" s="478">
        <f t="shared" si="23"/>
        <v>0</v>
      </c>
      <c r="P60" s="243"/>
    </row>
    <row r="61" spans="2:16">
      <c r="B61" s="160" t="str">
        <f t="shared" si="6"/>
        <v/>
      </c>
      <c r="C61" s="472">
        <f>IF(D11="","-",+C60+1)</f>
        <v>2053</v>
      </c>
      <c r="D61" s="485">
        <f>IF(F60+SUM(E$17:E60)=D$10,F60,D$10-SUM(E$17:E60))</f>
        <v>241191.16539955756</v>
      </c>
      <c r="E61" s="484">
        <f>IF(+I14&lt;F60,I14,D61)</f>
        <v>241191.16539955756</v>
      </c>
      <c r="F61" s="485">
        <f t="shared" si="17"/>
        <v>0</v>
      </c>
      <c r="G61" s="486">
        <f t="shared" si="18"/>
        <v>255066.45119315473</v>
      </c>
      <c r="H61" s="455">
        <f t="shared" si="19"/>
        <v>255066.45119315473</v>
      </c>
      <c r="I61" s="475">
        <f t="shared" si="20"/>
        <v>0</v>
      </c>
      <c r="J61" s="475"/>
      <c r="K61" s="487"/>
      <c r="L61" s="478">
        <f t="shared" si="21"/>
        <v>0</v>
      </c>
      <c r="M61" s="487"/>
      <c r="N61" s="478">
        <f t="shared" si="22"/>
        <v>0</v>
      </c>
      <c r="O61" s="478">
        <f t="shared" si="23"/>
        <v>0</v>
      </c>
      <c r="P61" s="243"/>
    </row>
    <row r="62" spans="2:16">
      <c r="B62" s="160" t="str">
        <f t="shared" si="6"/>
        <v/>
      </c>
      <c r="C62" s="472">
        <f>IF(D11="","-",+C61+1)</f>
        <v>2054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17"/>
        <v>0</v>
      </c>
      <c r="G62" s="486">
        <f t="shared" si="18"/>
        <v>0</v>
      </c>
      <c r="H62" s="455">
        <f t="shared" si="19"/>
        <v>0</v>
      </c>
      <c r="I62" s="475">
        <f t="shared" si="20"/>
        <v>0</v>
      </c>
      <c r="J62" s="475"/>
      <c r="K62" s="487"/>
      <c r="L62" s="478">
        <f t="shared" si="21"/>
        <v>0</v>
      </c>
      <c r="M62" s="487"/>
      <c r="N62" s="478">
        <f t="shared" si="22"/>
        <v>0</v>
      </c>
      <c r="O62" s="478">
        <f t="shared" si="23"/>
        <v>0</v>
      </c>
      <c r="P62" s="243"/>
    </row>
    <row r="63" spans="2:16">
      <c r="B63" s="160" t="str">
        <f t="shared" si="6"/>
        <v/>
      </c>
      <c r="C63" s="472">
        <f>IF(D11="","-",+C62+1)</f>
        <v>2055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7"/>
        <v>0</v>
      </c>
      <c r="G63" s="486">
        <f t="shared" si="18"/>
        <v>0</v>
      </c>
      <c r="H63" s="455">
        <f t="shared" si="19"/>
        <v>0</v>
      </c>
      <c r="I63" s="475">
        <f t="shared" si="20"/>
        <v>0</v>
      </c>
      <c r="J63" s="475"/>
      <c r="K63" s="487"/>
      <c r="L63" s="478">
        <f t="shared" si="21"/>
        <v>0</v>
      </c>
      <c r="M63" s="487"/>
      <c r="N63" s="478">
        <f t="shared" si="22"/>
        <v>0</v>
      </c>
      <c r="O63" s="478">
        <f t="shared" si="23"/>
        <v>0</v>
      </c>
      <c r="P63" s="243"/>
    </row>
    <row r="64" spans="2:16">
      <c r="B64" s="160" t="str">
        <f t="shared" si="6"/>
        <v/>
      </c>
      <c r="C64" s="472">
        <f>IF(D11="","-",+C63+1)</f>
        <v>2056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7"/>
        <v>0</v>
      </c>
      <c r="G64" s="486">
        <f t="shared" si="18"/>
        <v>0</v>
      </c>
      <c r="H64" s="455">
        <f t="shared" si="19"/>
        <v>0</v>
      </c>
      <c r="I64" s="475">
        <f t="shared" si="20"/>
        <v>0</v>
      </c>
      <c r="J64" s="475"/>
      <c r="K64" s="487"/>
      <c r="L64" s="478">
        <f t="shared" si="21"/>
        <v>0</v>
      </c>
      <c r="M64" s="487"/>
      <c r="N64" s="478">
        <f t="shared" si="22"/>
        <v>0</v>
      </c>
      <c r="O64" s="478">
        <f t="shared" si="23"/>
        <v>0</v>
      </c>
      <c r="P64" s="243"/>
    </row>
    <row r="65" spans="2:16">
      <c r="B65" s="160" t="str">
        <f t="shared" si="6"/>
        <v/>
      </c>
      <c r="C65" s="472">
        <f>IF(D11="","-",+C64+1)</f>
        <v>2057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7"/>
        <v>0</v>
      </c>
      <c r="G65" s="486">
        <f t="shared" si="18"/>
        <v>0</v>
      </c>
      <c r="H65" s="455">
        <f t="shared" si="19"/>
        <v>0</v>
      </c>
      <c r="I65" s="475">
        <f t="shared" si="20"/>
        <v>0</v>
      </c>
      <c r="J65" s="475"/>
      <c r="K65" s="487"/>
      <c r="L65" s="478">
        <f t="shared" si="21"/>
        <v>0</v>
      </c>
      <c r="M65" s="487"/>
      <c r="N65" s="478">
        <f t="shared" si="22"/>
        <v>0</v>
      </c>
      <c r="O65" s="478">
        <f t="shared" si="23"/>
        <v>0</v>
      </c>
      <c r="P65" s="243"/>
    </row>
    <row r="66" spans="2:16">
      <c r="B66" s="160" t="str">
        <f t="shared" si="6"/>
        <v/>
      </c>
      <c r="C66" s="472">
        <f>IF(D11="","-",+C65+1)</f>
        <v>2058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7"/>
        <v>0</v>
      </c>
      <c r="G66" s="486">
        <f t="shared" si="18"/>
        <v>0</v>
      </c>
      <c r="H66" s="455">
        <f t="shared" si="19"/>
        <v>0</v>
      </c>
      <c r="I66" s="475">
        <f t="shared" si="20"/>
        <v>0</v>
      </c>
      <c r="J66" s="475"/>
      <c r="K66" s="487"/>
      <c r="L66" s="478">
        <f t="shared" si="21"/>
        <v>0</v>
      </c>
      <c r="M66" s="487"/>
      <c r="N66" s="478">
        <f t="shared" si="22"/>
        <v>0</v>
      </c>
      <c r="O66" s="478">
        <f t="shared" si="23"/>
        <v>0</v>
      </c>
      <c r="P66" s="243"/>
    </row>
    <row r="67" spans="2:16">
      <c r="B67" s="160" t="str">
        <f t="shared" si="6"/>
        <v/>
      </c>
      <c r="C67" s="472">
        <f>IF(D11="","-",+C66+1)</f>
        <v>2059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7"/>
        <v>0</v>
      </c>
      <c r="G67" s="486">
        <f t="shared" si="18"/>
        <v>0</v>
      </c>
      <c r="H67" s="455">
        <f t="shared" si="19"/>
        <v>0</v>
      </c>
      <c r="I67" s="475">
        <f t="shared" si="20"/>
        <v>0</v>
      </c>
      <c r="J67" s="475"/>
      <c r="K67" s="487"/>
      <c r="L67" s="478">
        <f t="shared" si="21"/>
        <v>0</v>
      </c>
      <c r="M67" s="487"/>
      <c r="N67" s="478">
        <f t="shared" si="22"/>
        <v>0</v>
      </c>
      <c r="O67" s="478">
        <f t="shared" si="23"/>
        <v>0</v>
      </c>
      <c r="P67" s="243"/>
    </row>
    <row r="68" spans="2:16">
      <c r="B68" s="160" t="str">
        <f t="shared" si="6"/>
        <v/>
      </c>
      <c r="C68" s="472">
        <f>IF(D11="","-",+C67+1)</f>
        <v>2060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7"/>
        <v>0</v>
      </c>
      <c r="G68" s="486">
        <f t="shared" si="18"/>
        <v>0</v>
      </c>
      <c r="H68" s="455">
        <f t="shared" si="19"/>
        <v>0</v>
      </c>
      <c r="I68" s="475">
        <f t="shared" si="20"/>
        <v>0</v>
      </c>
      <c r="J68" s="475"/>
      <c r="K68" s="487"/>
      <c r="L68" s="478">
        <f t="shared" si="21"/>
        <v>0</v>
      </c>
      <c r="M68" s="487"/>
      <c r="N68" s="478">
        <f t="shared" si="22"/>
        <v>0</v>
      </c>
      <c r="O68" s="478">
        <f t="shared" si="23"/>
        <v>0</v>
      </c>
      <c r="P68" s="243"/>
    </row>
    <row r="69" spans="2:16">
      <c r="B69" s="160" t="str">
        <f t="shared" si="6"/>
        <v/>
      </c>
      <c r="C69" s="472">
        <f>IF(D11="","-",+C68+1)</f>
        <v>2061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7"/>
        <v>0</v>
      </c>
      <c r="G69" s="486">
        <f t="shared" si="18"/>
        <v>0</v>
      </c>
      <c r="H69" s="455">
        <f t="shared" si="19"/>
        <v>0</v>
      </c>
      <c r="I69" s="475">
        <f t="shared" si="20"/>
        <v>0</v>
      </c>
      <c r="J69" s="475"/>
      <c r="K69" s="487"/>
      <c r="L69" s="478">
        <f t="shared" si="21"/>
        <v>0</v>
      </c>
      <c r="M69" s="487"/>
      <c r="N69" s="478">
        <f t="shared" si="22"/>
        <v>0</v>
      </c>
      <c r="O69" s="478">
        <f t="shared" si="23"/>
        <v>0</v>
      </c>
      <c r="P69" s="243"/>
    </row>
    <row r="70" spans="2:16">
      <c r="B70" s="160" t="str">
        <f t="shared" si="6"/>
        <v/>
      </c>
      <c r="C70" s="472">
        <f>IF(D11="","-",+C69+1)</f>
        <v>2062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7"/>
        <v>0</v>
      </c>
      <c r="G70" s="486">
        <f t="shared" si="18"/>
        <v>0</v>
      </c>
      <c r="H70" s="455">
        <f t="shared" si="19"/>
        <v>0</v>
      </c>
      <c r="I70" s="475">
        <f t="shared" si="20"/>
        <v>0</v>
      </c>
      <c r="J70" s="475"/>
      <c r="K70" s="487"/>
      <c r="L70" s="478">
        <f t="shared" si="21"/>
        <v>0</v>
      </c>
      <c r="M70" s="487"/>
      <c r="N70" s="478">
        <f t="shared" si="22"/>
        <v>0</v>
      </c>
      <c r="O70" s="478">
        <f t="shared" si="23"/>
        <v>0</v>
      </c>
      <c r="P70" s="243"/>
    </row>
    <row r="71" spans="2:16">
      <c r="B71" s="160" t="str">
        <f t="shared" si="6"/>
        <v/>
      </c>
      <c r="C71" s="472">
        <f>IF(D11="","-",+C70+1)</f>
        <v>2063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7"/>
        <v>0</v>
      </c>
      <c r="G71" s="486">
        <f t="shared" si="18"/>
        <v>0</v>
      </c>
      <c r="H71" s="455">
        <f t="shared" si="19"/>
        <v>0</v>
      </c>
      <c r="I71" s="475">
        <f t="shared" si="20"/>
        <v>0</v>
      </c>
      <c r="J71" s="475"/>
      <c r="K71" s="487"/>
      <c r="L71" s="478">
        <f t="shared" si="21"/>
        <v>0</v>
      </c>
      <c r="M71" s="487"/>
      <c r="N71" s="478">
        <f t="shared" si="22"/>
        <v>0</v>
      </c>
      <c r="O71" s="478">
        <f t="shared" si="23"/>
        <v>0</v>
      </c>
      <c r="P71" s="243"/>
    </row>
    <row r="72" spans="2:16" ht="13.5" thickBot="1">
      <c r="B72" s="160" t="str">
        <f t="shared" si="6"/>
        <v/>
      </c>
      <c r="C72" s="489">
        <f>IF(D11="","-",+C71+1)</f>
        <v>2064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7"/>
        <v>0</v>
      </c>
      <c r="G72" s="490">
        <f t="shared" si="18"/>
        <v>0</v>
      </c>
      <c r="H72" s="490">
        <f t="shared" si="19"/>
        <v>0</v>
      </c>
      <c r="I72" s="493">
        <f t="shared" si="20"/>
        <v>0</v>
      </c>
      <c r="J72" s="475"/>
      <c r="K72" s="494"/>
      <c r="L72" s="495">
        <f t="shared" si="21"/>
        <v>0</v>
      </c>
      <c r="M72" s="494"/>
      <c r="N72" s="495">
        <f t="shared" si="22"/>
        <v>0</v>
      </c>
      <c r="O72" s="495">
        <f t="shared" si="23"/>
        <v>0</v>
      </c>
      <c r="P72" s="243"/>
    </row>
    <row r="73" spans="2:16">
      <c r="C73" s="347" t="s">
        <v>77</v>
      </c>
      <c r="D73" s="348"/>
      <c r="E73" s="348">
        <f>SUM(E17:E72)</f>
        <v>11456064.999999996</v>
      </c>
      <c r="F73" s="348"/>
      <c r="G73" s="348">
        <f>SUM(G17:G72)</f>
        <v>43491602.017193533</v>
      </c>
      <c r="H73" s="348">
        <f>SUM(H17:H72)</f>
        <v>43491602.017193533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3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1182049.5546801805</v>
      </c>
      <c r="N87" s="508">
        <f>IF(J92&lt;D11,0,VLOOKUP(J92,C17:O72,11))</f>
        <v>1182049.5546801805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1257301.6496546383</v>
      </c>
      <c r="N88" s="512">
        <f>IF(J92&lt;D11,0,VLOOKUP(J92,C99:P154,7))</f>
        <v>1257301.6496546383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WFEC New 138 kV Ties: Sayre to Erick (WFEC) Line &amp; Atoka and Tupelo station work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75252.094974457752</v>
      </c>
      <c r="N89" s="517">
        <f>+N88-N87</f>
        <v>75252.094974457752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TP2006054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11456065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10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279416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2009</v>
      </c>
      <c r="D99" s="473">
        <v>0</v>
      </c>
      <c r="E99" s="480">
        <v>26281</v>
      </c>
      <c r="F99" s="479">
        <v>8804059</v>
      </c>
      <c r="G99" s="537">
        <v>4402030</v>
      </c>
      <c r="H99" s="538">
        <v>669894</v>
      </c>
      <c r="I99" s="539">
        <v>669894</v>
      </c>
      <c r="J99" s="478">
        <f t="shared" ref="J99:J130" si="24">+I99-H99</f>
        <v>0</v>
      </c>
      <c r="K99" s="478"/>
      <c r="L99" s="554">
        <f t="shared" ref="L99:L104" si="25">H99</f>
        <v>669894</v>
      </c>
      <c r="M99" s="477">
        <f t="shared" ref="M99:M130" si="26">IF(L99&lt;&gt;0,+H99-L99,0)</f>
        <v>0</v>
      </c>
      <c r="N99" s="554">
        <f t="shared" ref="N99:N104" si="27">I99</f>
        <v>669894</v>
      </c>
      <c r="O99" s="477">
        <f t="shared" ref="O99:O130" si="28">IF(N99&lt;&gt;0,+I99-N99,0)</f>
        <v>0</v>
      </c>
      <c r="P99" s="477">
        <f t="shared" ref="P99:P130" si="29">+O99-M99</f>
        <v>0</v>
      </c>
    </row>
    <row r="100" spans="1:16">
      <c r="B100" s="160" t="str">
        <f>IF(D100=F99,"","IU")</f>
        <v>IU</v>
      </c>
      <c r="C100" s="472">
        <f>IF(D93="","-",+C99+1)</f>
        <v>2010</v>
      </c>
      <c r="D100" s="473">
        <v>12205867</v>
      </c>
      <c r="E100" s="480">
        <v>239846</v>
      </c>
      <c r="F100" s="479">
        <v>11966021</v>
      </c>
      <c r="G100" s="479">
        <v>12085944</v>
      </c>
      <c r="H100" s="480">
        <v>2183449.7644146364</v>
      </c>
      <c r="I100" s="481">
        <v>2183449.7644146364</v>
      </c>
      <c r="J100" s="478">
        <f t="shared" si="24"/>
        <v>0</v>
      </c>
      <c r="K100" s="478"/>
      <c r="L100" s="540">
        <f t="shared" si="25"/>
        <v>2183449.7644146364</v>
      </c>
      <c r="M100" s="541">
        <f t="shared" si="26"/>
        <v>0</v>
      </c>
      <c r="N100" s="540">
        <f t="shared" si="27"/>
        <v>2183449.7644146364</v>
      </c>
      <c r="O100" s="478">
        <f t="shared" si="28"/>
        <v>0</v>
      </c>
      <c r="P100" s="478">
        <f t="shared" si="29"/>
        <v>0</v>
      </c>
    </row>
    <row r="101" spans="1:16">
      <c r="B101" s="160" t="str">
        <f t="shared" ref="B101:B154" si="30">IF(D101=F100,"","IU")</f>
        <v/>
      </c>
      <c r="C101" s="472">
        <f>IF(D93="","-",+C100+1)</f>
        <v>2011</v>
      </c>
      <c r="D101" s="473">
        <v>11966021</v>
      </c>
      <c r="E101" s="480">
        <v>235234</v>
      </c>
      <c r="F101" s="479">
        <v>11730787</v>
      </c>
      <c r="G101" s="479">
        <v>11848404</v>
      </c>
      <c r="H101" s="480">
        <v>1891800.0972614796</v>
      </c>
      <c r="I101" s="481">
        <v>1891800.0972614796</v>
      </c>
      <c r="J101" s="478">
        <f t="shared" si="24"/>
        <v>0</v>
      </c>
      <c r="K101" s="478"/>
      <c r="L101" s="540">
        <f t="shared" si="25"/>
        <v>1891800.0972614796</v>
      </c>
      <c r="M101" s="541">
        <f t="shared" si="26"/>
        <v>0</v>
      </c>
      <c r="N101" s="540">
        <f t="shared" si="27"/>
        <v>1891800.0972614796</v>
      </c>
      <c r="O101" s="478">
        <f t="shared" si="28"/>
        <v>0</v>
      </c>
      <c r="P101" s="478">
        <f t="shared" si="29"/>
        <v>0</v>
      </c>
    </row>
    <row r="102" spans="1:16">
      <c r="B102" s="160" t="str">
        <f t="shared" si="30"/>
        <v/>
      </c>
      <c r="C102" s="472">
        <f>IF(D93="","-",+C101+1)</f>
        <v>2012</v>
      </c>
      <c r="D102" s="473">
        <v>11730787</v>
      </c>
      <c r="E102" s="480">
        <v>235234</v>
      </c>
      <c r="F102" s="479">
        <v>11495553</v>
      </c>
      <c r="G102" s="479">
        <v>11613170</v>
      </c>
      <c r="H102" s="480">
        <v>1905852.1655461292</v>
      </c>
      <c r="I102" s="481">
        <v>1905852.1655461292</v>
      </c>
      <c r="J102" s="478">
        <v>0</v>
      </c>
      <c r="K102" s="478"/>
      <c r="L102" s="540">
        <f t="shared" si="25"/>
        <v>1905852.1655461292</v>
      </c>
      <c r="M102" s="541">
        <f t="shared" ref="M102:M107" si="31">IF(L102&lt;&gt;0,+H102-L102,0)</f>
        <v>0</v>
      </c>
      <c r="N102" s="540">
        <f t="shared" si="27"/>
        <v>1905852.1655461292</v>
      </c>
      <c r="O102" s="478">
        <f t="shared" ref="O102:O107" si="32">IF(N102&lt;&gt;0,+I102-N102,0)</f>
        <v>0</v>
      </c>
      <c r="P102" s="478">
        <f t="shared" ref="P102:P107" si="33">+O102-M102</f>
        <v>0</v>
      </c>
    </row>
    <row r="103" spans="1:16">
      <c r="B103" s="160" t="str">
        <f t="shared" si="30"/>
        <v/>
      </c>
      <c r="C103" s="472">
        <f>IF(D93="","-",+C102+1)</f>
        <v>2013</v>
      </c>
      <c r="D103" s="473">
        <v>11495553</v>
      </c>
      <c r="E103" s="480">
        <v>235234</v>
      </c>
      <c r="F103" s="479">
        <v>11260319</v>
      </c>
      <c r="G103" s="479">
        <v>11377936</v>
      </c>
      <c r="H103" s="480">
        <v>1872969.4877104962</v>
      </c>
      <c r="I103" s="481">
        <v>1872969.4877104962</v>
      </c>
      <c r="J103" s="478">
        <v>0</v>
      </c>
      <c r="K103" s="478"/>
      <c r="L103" s="540">
        <f t="shared" si="25"/>
        <v>1872969.4877104962</v>
      </c>
      <c r="M103" s="541">
        <f t="shared" si="31"/>
        <v>0</v>
      </c>
      <c r="N103" s="540">
        <f t="shared" si="27"/>
        <v>1872969.4877104962</v>
      </c>
      <c r="O103" s="478">
        <f t="shared" si="32"/>
        <v>0</v>
      </c>
      <c r="P103" s="478">
        <f t="shared" si="33"/>
        <v>0</v>
      </c>
    </row>
    <row r="104" spans="1:16">
      <c r="B104" s="160" t="str">
        <f t="shared" si="30"/>
        <v>IU</v>
      </c>
      <c r="C104" s="472">
        <f>IF(D93="","-",+C103+1)</f>
        <v>2014</v>
      </c>
      <c r="D104" s="473">
        <v>10484236</v>
      </c>
      <c r="E104" s="480">
        <v>220309</v>
      </c>
      <c r="F104" s="479">
        <v>10263927</v>
      </c>
      <c r="G104" s="479">
        <v>10374081.5</v>
      </c>
      <c r="H104" s="480">
        <v>1678862.4521722798</v>
      </c>
      <c r="I104" s="481">
        <v>1678862.4521722798</v>
      </c>
      <c r="J104" s="478">
        <v>0</v>
      </c>
      <c r="K104" s="478"/>
      <c r="L104" s="540">
        <f t="shared" si="25"/>
        <v>1678862.4521722798</v>
      </c>
      <c r="M104" s="541">
        <f t="shared" si="31"/>
        <v>0</v>
      </c>
      <c r="N104" s="540">
        <f t="shared" si="27"/>
        <v>1678862.4521722798</v>
      </c>
      <c r="O104" s="478">
        <f t="shared" si="32"/>
        <v>0</v>
      </c>
      <c r="P104" s="478">
        <f t="shared" si="33"/>
        <v>0</v>
      </c>
    </row>
    <row r="105" spans="1:16">
      <c r="B105" s="160" t="str">
        <f t="shared" si="30"/>
        <v/>
      </c>
      <c r="C105" s="472">
        <f>IF(D93="","-",+C104+1)</f>
        <v>2015</v>
      </c>
      <c r="D105" s="473">
        <v>10263927</v>
      </c>
      <c r="E105" s="480">
        <v>220309</v>
      </c>
      <c r="F105" s="479">
        <v>10043618</v>
      </c>
      <c r="G105" s="479">
        <v>10153772.5</v>
      </c>
      <c r="H105" s="480">
        <v>1605709.6172709188</v>
      </c>
      <c r="I105" s="481">
        <v>1605709.6172709188</v>
      </c>
      <c r="J105" s="478">
        <f t="shared" si="24"/>
        <v>0</v>
      </c>
      <c r="K105" s="478"/>
      <c r="L105" s="540">
        <f t="shared" ref="L105:L110" si="34">H105</f>
        <v>1605709.6172709188</v>
      </c>
      <c r="M105" s="541">
        <f t="shared" si="31"/>
        <v>0</v>
      </c>
      <c r="N105" s="540">
        <f t="shared" ref="N105:N110" si="35">I105</f>
        <v>1605709.6172709188</v>
      </c>
      <c r="O105" s="478">
        <f t="shared" si="32"/>
        <v>0</v>
      </c>
      <c r="P105" s="478">
        <f t="shared" si="33"/>
        <v>0</v>
      </c>
    </row>
    <row r="106" spans="1:16">
      <c r="B106" s="160" t="str">
        <f t="shared" si="30"/>
        <v/>
      </c>
      <c r="C106" s="472">
        <f>IF(D93="","-",+C105+1)</f>
        <v>2016</v>
      </c>
      <c r="D106" s="473">
        <v>10043618</v>
      </c>
      <c r="E106" s="480">
        <v>249045</v>
      </c>
      <c r="F106" s="479">
        <v>9794573</v>
      </c>
      <c r="G106" s="479">
        <v>9919095.5</v>
      </c>
      <c r="H106" s="480">
        <v>1527772.6245386968</v>
      </c>
      <c r="I106" s="481">
        <v>1527772.6245386968</v>
      </c>
      <c r="J106" s="478">
        <f t="shared" si="24"/>
        <v>0</v>
      </c>
      <c r="K106" s="478"/>
      <c r="L106" s="540">
        <f t="shared" si="34"/>
        <v>1527772.6245386968</v>
      </c>
      <c r="M106" s="541">
        <f t="shared" si="31"/>
        <v>0</v>
      </c>
      <c r="N106" s="540">
        <f t="shared" si="35"/>
        <v>1527772.6245386968</v>
      </c>
      <c r="O106" s="478">
        <f t="shared" si="32"/>
        <v>0</v>
      </c>
      <c r="P106" s="478">
        <f t="shared" si="33"/>
        <v>0</v>
      </c>
    </row>
    <row r="107" spans="1:16">
      <c r="B107" s="160" t="str">
        <f t="shared" si="30"/>
        <v/>
      </c>
      <c r="C107" s="472">
        <f>IF(D93="","-",+C106+1)</f>
        <v>2017</v>
      </c>
      <c r="D107" s="473">
        <v>9794573</v>
      </c>
      <c r="E107" s="480">
        <v>249045</v>
      </c>
      <c r="F107" s="479">
        <v>9545528</v>
      </c>
      <c r="G107" s="479">
        <v>9670050.5</v>
      </c>
      <c r="H107" s="480">
        <v>1475715.2889659985</v>
      </c>
      <c r="I107" s="481">
        <v>1475715.2889659985</v>
      </c>
      <c r="J107" s="478">
        <f t="shared" si="24"/>
        <v>0</v>
      </c>
      <c r="K107" s="478"/>
      <c r="L107" s="540">
        <f t="shared" si="34"/>
        <v>1475715.2889659985</v>
      </c>
      <c r="M107" s="541">
        <f t="shared" si="31"/>
        <v>0</v>
      </c>
      <c r="N107" s="540">
        <f t="shared" si="35"/>
        <v>1475715.2889659985</v>
      </c>
      <c r="O107" s="478">
        <f t="shared" si="32"/>
        <v>0</v>
      </c>
      <c r="P107" s="478">
        <f t="shared" si="33"/>
        <v>0</v>
      </c>
    </row>
    <row r="108" spans="1:16">
      <c r="B108" s="160" t="str">
        <f t="shared" si="30"/>
        <v/>
      </c>
      <c r="C108" s="472">
        <f>IF(D93="","-",+C107+1)</f>
        <v>2018</v>
      </c>
      <c r="D108" s="473">
        <v>9545528</v>
      </c>
      <c r="E108" s="480">
        <v>266420</v>
      </c>
      <c r="F108" s="479">
        <v>9279108</v>
      </c>
      <c r="G108" s="479">
        <v>9412318</v>
      </c>
      <c r="H108" s="480">
        <v>1233399.824885203</v>
      </c>
      <c r="I108" s="481">
        <v>1233399.824885203</v>
      </c>
      <c r="J108" s="478">
        <f t="shared" si="24"/>
        <v>0</v>
      </c>
      <c r="K108" s="478"/>
      <c r="L108" s="540">
        <f t="shared" si="34"/>
        <v>1233399.824885203</v>
      </c>
      <c r="M108" s="541">
        <f t="shared" ref="M108" si="36">IF(L108&lt;&gt;0,+H108-L108,0)</f>
        <v>0</v>
      </c>
      <c r="N108" s="540">
        <f t="shared" si="35"/>
        <v>1233399.824885203</v>
      </c>
      <c r="O108" s="478">
        <f t="shared" ref="O108" si="37">IF(N108&lt;&gt;0,+I108-N108,0)</f>
        <v>0</v>
      </c>
      <c r="P108" s="478">
        <f t="shared" ref="P108" si="38">+O108-M108</f>
        <v>0</v>
      </c>
    </row>
    <row r="109" spans="1:16">
      <c r="B109" s="160" t="str">
        <f t="shared" si="30"/>
        <v/>
      </c>
      <c r="C109" s="472">
        <f>IF(D93="","-",+C108+1)</f>
        <v>2019</v>
      </c>
      <c r="D109" s="473">
        <v>9279108</v>
      </c>
      <c r="E109" s="480">
        <v>279416</v>
      </c>
      <c r="F109" s="479">
        <v>8999692</v>
      </c>
      <c r="G109" s="479">
        <v>9139400</v>
      </c>
      <c r="H109" s="480">
        <v>1221816.3299613127</v>
      </c>
      <c r="I109" s="481">
        <v>1221816.3299613127</v>
      </c>
      <c r="J109" s="478">
        <f t="shared" si="24"/>
        <v>0</v>
      </c>
      <c r="K109" s="478"/>
      <c r="L109" s="540">
        <f t="shared" si="34"/>
        <v>1221816.3299613127</v>
      </c>
      <c r="M109" s="541">
        <f t="shared" ref="M109" si="39">IF(L109&lt;&gt;0,+H109-L109,0)</f>
        <v>0</v>
      </c>
      <c r="N109" s="540">
        <f t="shared" si="35"/>
        <v>1221816.3299613127</v>
      </c>
      <c r="O109" s="478">
        <f t="shared" si="28"/>
        <v>0</v>
      </c>
      <c r="P109" s="478">
        <f t="shared" si="29"/>
        <v>0</v>
      </c>
    </row>
    <row r="110" spans="1:16">
      <c r="B110" s="160" t="str">
        <f t="shared" si="30"/>
        <v/>
      </c>
      <c r="C110" s="472">
        <f>IF(D93="","-",+C109+1)</f>
        <v>2020</v>
      </c>
      <c r="D110" s="473">
        <v>8999692</v>
      </c>
      <c r="E110" s="480">
        <v>266420</v>
      </c>
      <c r="F110" s="479">
        <v>8733272</v>
      </c>
      <c r="G110" s="479">
        <v>8866482</v>
      </c>
      <c r="H110" s="480">
        <v>1288700.9982176959</v>
      </c>
      <c r="I110" s="481">
        <v>1288700.9982176959</v>
      </c>
      <c r="J110" s="478">
        <f t="shared" si="24"/>
        <v>0</v>
      </c>
      <c r="K110" s="478"/>
      <c r="L110" s="540">
        <f t="shared" si="34"/>
        <v>1288700.9982176959</v>
      </c>
      <c r="M110" s="541">
        <f t="shared" ref="M110" si="40">IF(L110&lt;&gt;0,+H110-L110,0)</f>
        <v>0</v>
      </c>
      <c r="N110" s="540">
        <f t="shared" si="35"/>
        <v>1288700.9982176959</v>
      </c>
      <c r="O110" s="478">
        <f t="shared" si="28"/>
        <v>0</v>
      </c>
      <c r="P110" s="478">
        <f t="shared" si="29"/>
        <v>0</v>
      </c>
    </row>
    <row r="111" spans="1:16">
      <c r="B111" s="160" t="str">
        <f t="shared" si="30"/>
        <v/>
      </c>
      <c r="C111" s="472">
        <f>IF(D93="","-",+C110+1)</f>
        <v>2021</v>
      </c>
      <c r="D111" s="347">
        <f>IF(F110+SUM(E$99:E110)=D$92,F110,D$92-SUM(E$99:E110))</f>
        <v>8733272</v>
      </c>
      <c r="E111" s="486">
        <f>IF(+J96&lt;F110,J96,D111)</f>
        <v>279416</v>
      </c>
      <c r="F111" s="485">
        <f t="shared" ref="F111:F130" si="41">+D111-E111</f>
        <v>8453856</v>
      </c>
      <c r="G111" s="485">
        <f t="shared" ref="G111:G130" si="42">+(F111+D111)/2</f>
        <v>8593564</v>
      </c>
      <c r="H111" s="486">
        <f t="shared" ref="H111:H154" si="43">(D111+F111)/2*J$94+E111</f>
        <v>1257301.6496546383</v>
      </c>
      <c r="I111" s="542">
        <f t="shared" ref="I111:I154" si="44">+J$95*G111+E111</f>
        <v>1257301.6496546383</v>
      </c>
      <c r="J111" s="478">
        <f t="shared" si="24"/>
        <v>0</v>
      </c>
      <c r="K111" s="478"/>
      <c r="L111" s="487"/>
      <c r="M111" s="478">
        <f t="shared" si="26"/>
        <v>0</v>
      </c>
      <c r="N111" s="487"/>
      <c r="O111" s="478">
        <f t="shared" si="28"/>
        <v>0</v>
      </c>
      <c r="P111" s="478">
        <f t="shared" si="29"/>
        <v>0</v>
      </c>
    </row>
    <row r="112" spans="1:16">
      <c r="B112" s="160" t="str">
        <f t="shared" si="30"/>
        <v/>
      </c>
      <c r="C112" s="472">
        <f>IF(D93="","-",+C111+1)</f>
        <v>2022</v>
      </c>
      <c r="D112" s="347">
        <f>IF(F111+SUM(E$99:E111)=D$92,F111,D$92-SUM(E$99:E111))</f>
        <v>8453856</v>
      </c>
      <c r="E112" s="486">
        <f>IF(+J96&lt;F111,J96,D112)</f>
        <v>279416</v>
      </c>
      <c r="F112" s="485">
        <f t="shared" si="41"/>
        <v>8174440</v>
      </c>
      <c r="G112" s="485">
        <f t="shared" si="42"/>
        <v>8314148</v>
      </c>
      <c r="H112" s="486">
        <f t="shared" si="43"/>
        <v>1225506.1225969587</v>
      </c>
      <c r="I112" s="542">
        <f t="shared" si="44"/>
        <v>1225506.1225969587</v>
      </c>
      <c r="J112" s="478">
        <f t="shared" si="24"/>
        <v>0</v>
      </c>
      <c r="K112" s="478"/>
      <c r="L112" s="487"/>
      <c r="M112" s="478">
        <f t="shared" si="26"/>
        <v>0</v>
      </c>
      <c r="N112" s="487"/>
      <c r="O112" s="478">
        <f t="shared" si="28"/>
        <v>0</v>
      </c>
      <c r="P112" s="478">
        <f t="shared" si="29"/>
        <v>0</v>
      </c>
    </row>
    <row r="113" spans="2:16">
      <c r="B113" s="160" t="str">
        <f t="shared" si="30"/>
        <v/>
      </c>
      <c r="C113" s="472">
        <f>IF(D93="","-",+C112+1)</f>
        <v>2023</v>
      </c>
      <c r="D113" s="347">
        <f>IF(F112+SUM(E$99:E112)=D$92,F112,D$92-SUM(E$99:E112))</f>
        <v>8174440</v>
      </c>
      <c r="E113" s="486">
        <f>IF(+J96&lt;F112,J96,D113)</f>
        <v>279416</v>
      </c>
      <c r="F113" s="485">
        <f t="shared" si="41"/>
        <v>7895024</v>
      </c>
      <c r="G113" s="485">
        <f t="shared" si="42"/>
        <v>8034732</v>
      </c>
      <c r="H113" s="486">
        <f t="shared" si="43"/>
        <v>1193710.5955392793</v>
      </c>
      <c r="I113" s="542">
        <f t="shared" si="44"/>
        <v>1193710.5955392793</v>
      </c>
      <c r="J113" s="478">
        <f t="shared" si="24"/>
        <v>0</v>
      </c>
      <c r="K113" s="478"/>
      <c r="L113" s="487"/>
      <c r="M113" s="478">
        <f t="shared" si="26"/>
        <v>0</v>
      </c>
      <c r="N113" s="487"/>
      <c r="O113" s="478">
        <f t="shared" si="28"/>
        <v>0</v>
      </c>
      <c r="P113" s="478">
        <f t="shared" si="29"/>
        <v>0</v>
      </c>
    </row>
    <row r="114" spans="2:16">
      <c r="B114" s="160" t="str">
        <f t="shared" si="30"/>
        <v/>
      </c>
      <c r="C114" s="472">
        <f>IF(D93="","-",+C113+1)</f>
        <v>2024</v>
      </c>
      <c r="D114" s="347">
        <f>IF(F113+SUM(E$99:E113)=D$92,F113,D$92-SUM(E$99:E113))</f>
        <v>7895024</v>
      </c>
      <c r="E114" s="486">
        <f>IF(+J96&lt;F113,J96,D114)</f>
        <v>279416</v>
      </c>
      <c r="F114" s="485">
        <f t="shared" si="41"/>
        <v>7615608</v>
      </c>
      <c r="G114" s="485">
        <f t="shared" si="42"/>
        <v>7755316</v>
      </c>
      <c r="H114" s="486">
        <f t="shared" si="43"/>
        <v>1161915.0684815999</v>
      </c>
      <c r="I114" s="542">
        <f t="shared" si="44"/>
        <v>1161915.0684815999</v>
      </c>
      <c r="J114" s="478">
        <f t="shared" si="24"/>
        <v>0</v>
      </c>
      <c r="K114" s="478"/>
      <c r="L114" s="487"/>
      <c r="M114" s="478">
        <f t="shared" si="26"/>
        <v>0</v>
      </c>
      <c r="N114" s="487"/>
      <c r="O114" s="478">
        <f t="shared" si="28"/>
        <v>0</v>
      </c>
      <c r="P114" s="478">
        <f t="shared" si="29"/>
        <v>0</v>
      </c>
    </row>
    <row r="115" spans="2:16">
      <c r="B115" s="160" t="str">
        <f t="shared" si="30"/>
        <v/>
      </c>
      <c r="C115" s="472">
        <f>IF(D93="","-",+C114+1)</f>
        <v>2025</v>
      </c>
      <c r="D115" s="347">
        <f>IF(F114+SUM(E$99:E114)=D$92,F114,D$92-SUM(E$99:E114))</f>
        <v>7615608</v>
      </c>
      <c r="E115" s="486">
        <f>IF(+J96&lt;F114,J96,D115)</f>
        <v>279416</v>
      </c>
      <c r="F115" s="485">
        <f t="shared" si="41"/>
        <v>7336192</v>
      </c>
      <c r="G115" s="485">
        <f t="shared" si="42"/>
        <v>7475900</v>
      </c>
      <c r="H115" s="486">
        <f t="shared" si="43"/>
        <v>1130119.5414239203</v>
      </c>
      <c r="I115" s="542">
        <f t="shared" si="44"/>
        <v>1130119.5414239203</v>
      </c>
      <c r="J115" s="478">
        <f t="shared" si="24"/>
        <v>0</v>
      </c>
      <c r="K115" s="478"/>
      <c r="L115" s="487"/>
      <c r="M115" s="478">
        <f t="shared" si="26"/>
        <v>0</v>
      </c>
      <c r="N115" s="487"/>
      <c r="O115" s="478">
        <f t="shared" si="28"/>
        <v>0</v>
      </c>
      <c r="P115" s="478">
        <f t="shared" si="29"/>
        <v>0</v>
      </c>
    </row>
    <row r="116" spans="2:16">
      <c r="B116" s="160" t="str">
        <f t="shared" si="30"/>
        <v/>
      </c>
      <c r="C116" s="472">
        <f>IF(D93="","-",+C115+1)</f>
        <v>2026</v>
      </c>
      <c r="D116" s="347">
        <f>IF(F115+SUM(E$99:E115)=D$92,F115,D$92-SUM(E$99:E115))</f>
        <v>7336192</v>
      </c>
      <c r="E116" s="486">
        <f>IF(+J96&lt;F115,J96,D116)</f>
        <v>279416</v>
      </c>
      <c r="F116" s="485">
        <f t="shared" si="41"/>
        <v>7056776</v>
      </c>
      <c r="G116" s="485">
        <f t="shared" si="42"/>
        <v>7196484</v>
      </c>
      <c r="H116" s="486">
        <f t="shared" si="43"/>
        <v>1098324.0143662407</v>
      </c>
      <c r="I116" s="542">
        <f t="shared" si="44"/>
        <v>1098324.0143662407</v>
      </c>
      <c r="J116" s="478">
        <f t="shared" si="24"/>
        <v>0</v>
      </c>
      <c r="K116" s="478"/>
      <c r="L116" s="487"/>
      <c r="M116" s="478">
        <f t="shared" si="26"/>
        <v>0</v>
      </c>
      <c r="N116" s="487"/>
      <c r="O116" s="478">
        <f t="shared" si="28"/>
        <v>0</v>
      </c>
      <c r="P116" s="478">
        <f t="shared" si="29"/>
        <v>0</v>
      </c>
    </row>
    <row r="117" spans="2:16">
      <c r="B117" s="160" t="str">
        <f t="shared" si="30"/>
        <v/>
      </c>
      <c r="C117" s="472">
        <f>IF(D93="","-",+C116+1)</f>
        <v>2027</v>
      </c>
      <c r="D117" s="347">
        <f>IF(F116+SUM(E$99:E116)=D$92,F116,D$92-SUM(E$99:E116))</f>
        <v>7056776</v>
      </c>
      <c r="E117" s="486">
        <f>IF(+J96&lt;F116,J96,D117)</f>
        <v>279416</v>
      </c>
      <c r="F117" s="485">
        <f t="shared" si="41"/>
        <v>6777360</v>
      </c>
      <c r="G117" s="485">
        <f t="shared" si="42"/>
        <v>6917068</v>
      </c>
      <c r="H117" s="486">
        <f t="shared" si="43"/>
        <v>1066528.4873085613</v>
      </c>
      <c r="I117" s="542">
        <f t="shared" si="44"/>
        <v>1066528.4873085613</v>
      </c>
      <c r="J117" s="478">
        <f t="shared" si="24"/>
        <v>0</v>
      </c>
      <c r="K117" s="478"/>
      <c r="L117" s="487"/>
      <c r="M117" s="478">
        <f t="shared" si="26"/>
        <v>0</v>
      </c>
      <c r="N117" s="487"/>
      <c r="O117" s="478">
        <f t="shared" si="28"/>
        <v>0</v>
      </c>
      <c r="P117" s="478">
        <f t="shared" si="29"/>
        <v>0</v>
      </c>
    </row>
    <row r="118" spans="2:16">
      <c r="B118" s="160" t="str">
        <f t="shared" si="30"/>
        <v/>
      </c>
      <c r="C118" s="472">
        <f>IF(D93="","-",+C117+1)</f>
        <v>2028</v>
      </c>
      <c r="D118" s="347">
        <f>IF(F117+SUM(E$99:E117)=D$92,F117,D$92-SUM(E$99:E117))</f>
        <v>6777360</v>
      </c>
      <c r="E118" s="486">
        <f>IF(+J96&lt;F117,J96,D118)</f>
        <v>279416</v>
      </c>
      <c r="F118" s="485">
        <f t="shared" si="41"/>
        <v>6497944</v>
      </c>
      <c r="G118" s="485">
        <f t="shared" si="42"/>
        <v>6637652</v>
      </c>
      <c r="H118" s="486">
        <f t="shared" si="43"/>
        <v>1034732.9602508818</v>
      </c>
      <c r="I118" s="542">
        <f t="shared" si="44"/>
        <v>1034732.9602508818</v>
      </c>
      <c r="J118" s="478">
        <f t="shared" si="24"/>
        <v>0</v>
      </c>
      <c r="K118" s="478"/>
      <c r="L118" s="487"/>
      <c r="M118" s="478">
        <f t="shared" si="26"/>
        <v>0</v>
      </c>
      <c r="N118" s="487"/>
      <c r="O118" s="478">
        <f t="shared" si="28"/>
        <v>0</v>
      </c>
      <c r="P118" s="478">
        <f t="shared" si="29"/>
        <v>0</v>
      </c>
    </row>
    <row r="119" spans="2:16">
      <c r="B119" s="160" t="str">
        <f t="shared" si="30"/>
        <v/>
      </c>
      <c r="C119" s="472">
        <f>IF(D93="","-",+C118+1)</f>
        <v>2029</v>
      </c>
      <c r="D119" s="347">
        <f>IF(F118+SUM(E$99:E118)=D$92,F118,D$92-SUM(E$99:E118))</f>
        <v>6497944</v>
      </c>
      <c r="E119" s="486">
        <f>IF(+J96&lt;F118,J96,D119)</f>
        <v>279416</v>
      </c>
      <c r="F119" s="485">
        <f t="shared" si="41"/>
        <v>6218528</v>
      </c>
      <c r="G119" s="485">
        <f t="shared" si="42"/>
        <v>6358236</v>
      </c>
      <c r="H119" s="486">
        <f t="shared" si="43"/>
        <v>1002937.4331932024</v>
      </c>
      <c r="I119" s="542">
        <f t="shared" si="44"/>
        <v>1002937.4331932024</v>
      </c>
      <c r="J119" s="478">
        <f t="shared" si="24"/>
        <v>0</v>
      </c>
      <c r="K119" s="478"/>
      <c r="L119" s="487"/>
      <c r="M119" s="478">
        <f t="shared" si="26"/>
        <v>0</v>
      </c>
      <c r="N119" s="487"/>
      <c r="O119" s="478">
        <f t="shared" si="28"/>
        <v>0</v>
      </c>
      <c r="P119" s="478">
        <f t="shared" si="29"/>
        <v>0</v>
      </c>
    </row>
    <row r="120" spans="2:16">
      <c r="B120" s="160" t="str">
        <f t="shared" si="30"/>
        <v/>
      </c>
      <c r="C120" s="472">
        <f>IF(D93="","-",+C119+1)</f>
        <v>2030</v>
      </c>
      <c r="D120" s="347">
        <f>IF(F119+SUM(E$99:E119)=D$92,F119,D$92-SUM(E$99:E119))</f>
        <v>6218528</v>
      </c>
      <c r="E120" s="486">
        <f>IF(+J96&lt;F119,J96,D120)</f>
        <v>279416</v>
      </c>
      <c r="F120" s="485">
        <f t="shared" si="41"/>
        <v>5939112</v>
      </c>
      <c r="G120" s="485">
        <f t="shared" si="42"/>
        <v>6078820</v>
      </c>
      <c r="H120" s="486">
        <f t="shared" si="43"/>
        <v>971141.90613552288</v>
      </c>
      <c r="I120" s="542">
        <f t="shared" si="44"/>
        <v>971141.90613552288</v>
      </c>
      <c r="J120" s="478">
        <f t="shared" si="24"/>
        <v>0</v>
      </c>
      <c r="K120" s="478"/>
      <c r="L120" s="487"/>
      <c r="M120" s="478">
        <f t="shared" si="26"/>
        <v>0</v>
      </c>
      <c r="N120" s="487"/>
      <c r="O120" s="478">
        <f t="shared" si="28"/>
        <v>0</v>
      </c>
      <c r="P120" s="478">
        <f t="shared" si="29"/>
        <v>0</v>
      </c>
    </row>
    <row r="121" spans="2:16">
      <c r="B121" s="160" t="str">
        <f t="shared" si="30"/>
        <v/>
      </c>
      <c r="C121" s="472">
        <f>IF(D93="","-",+C120+1)</f>
        <v>2031</v>
      </c>
      <c r="D121" s="347">
        <f>IF(F120+SUM(E$99:E120)=D$92,F120,D$92-SUM(E$99:E120))</f>
        <v>5939112</v>
      </c>
      <c r="E121" s="486">
        <f>IF(+J96&lt;F120,J96,D121)</f>
        <v>279416</v>
      </c>
      <c r="F121" s="485">
        <f t="shared" si="41"/>
        <v>5659696</v>
      </c>
      <c r="G121" s="485">
        <f t="shared" si="42"/>
        <v>5799404</v>
      </c>
      <c r="H121" s="486">
        <f t="shared" si="43"/>
        <v>939346.37907784327</v>
      </c>
      <c r="I121" s="542">
        <f t="shared" si="44"/>
        <v>939346.37907784327</v>
      </c>
      <c r="J121" s="478">
        <f t="shared" si="24"/>
        <v>0</v>
      </c>
      <c r="K121" s="478"/>
      <c r="L121" s="487"/>
      <c r="M121" s="478">
        <f t="shared" si="26"/>
        <v>0</v>
      </c>
      <c r="N121" s="487"/>
      <c r="O121" s="478">
        <f t="shared" si="28"/>
        <v>0</v>
      </c>
      <c r="P121" s="478">
        <f t="shared" si="29"/>
        <v>0</v>
      </c>
    </row>
    <row r="122" spans="2:16">
      <c r="B122" s="160" t="str">
        <f t="shared" si="30"/>
        <v/>
      </c>
      <c r="C122" s="472">
        <f>IF(D93="","-",+C121+1)</f>
        <v>2032</v>
      </c>
      <c r="D122" s="347">
        <f>IF(F121+SUM(E$99:E121)=D$92,F121,D$92-SUM(E$99:E121))</f>
        <v>5659696</v>
      </c>
      <c r="E122" s="486">
        <f>IF(+J96&lt;F121,J96,D122)</f>
        <v>279416</v>
      </c>
      <c r="F122" s="485">
        <f t="shared" si="41"/>
        <v>5380280</v>
      </c>
      <c r="G122" s="485">
        <f t="shared" si="42"/>
        <v>5519988</v>
      </c>
      <c r="H122" s="486">
        <f t="shared" si="43"/>
        <v>907550.85202016379</v>
      </c>
      <c r="I122" s="542">
        <f t="shared" si="44"/>
        <v>907550.85202016379</v>
      </c>
      <c r="J122" s="478">
        <f t="shared" si="24"/>
        <v>0</v>
      </c>
      <c r="K122" s="478"/>
      <c r="L122" s="487"/>
      <c r="M122" s="478">
        <f t="shared" si="26"/>
        <v>0</v>
      </c>
      <c r="N122" s="487"/>
      <c r="O122" s="478">
        <f t="shared" si="28"/>
        <v>0</v>
      </c>
      <c r="P122" s="478">
        <f t="shared" si="29"/>
        <v>0</v>
      </c>
    </row>
    <row r="123" spans="2:16">
      <c r="B123" s="160" t="str">
        <f t="shared" si="30"/>
        <v/>
      </c>
      <c r="C123" s="472">
        <f>IF(D93="","-",+C122+1)</f>
        <v>2033</v>
      </c>
      <c r="D123" s="347">
        <f>IF(F122+SUM(E$99:E122)=D$92,F122,D$92-SUM(E$99:E122))</f>
        <v>5380280</v>
      </c>
      <c r="E123" s="486">
        <f>IF(+J96&lt;F122,J96,D123)</f>
        <v>279416</v>
      </c>
      <c r="F123" s="485">
        <f t="shared" si="41"/>
        <v>5100864</v>
      </c>
      <c r="G123" s="485">
        <f t="shared" si="42"/>
        <v>5240572</v>
      </c>
      <c r="H123" s="486">
        <f t="shared" si="43"/>
        <v>875755.3249624843</v>
      </c>
      <c r="I123" s="542">
        <f t="shared" si="44"/>
        <v>875755.3249624843</v>
      </c>
      <c r="J123" s="478">
        <f t="shared" si="24"/>
        <v>0</v>
      </c>
      <c r="K123" s="478"/>
      <c r="L123" s="487"/>
      <c r="M123" s="478">
        <f t="shared" si="26"/>
        <v>0</v>
      </c>
      <c r="N123" s="487"/>
      <c r="O123" s="478">
        <f t="shared" si="28"/>
        <v>0</v>
      </c>
      <c r="P123" s="478">
        <f t="shared" si="29"/>
        <v>0</v>
      </c>
    </row>
    <row r="124" spans="2:16">
      <c r="B124" s="160" t="str">
        <f t="shared" si="30"/>
        <v/>
      </c>
      <c r="C124" s="472">
        <f>IF(D93="","-",+C123+1)</f>
        <v>2034</v>
      </c>
      <c r="D124" s="347">
        <f>IF(F123+SUM(E$99:E123)=D$92,F123,D$92-SUM(E$99:E123))</f>
        <v>5100864</v>
      </c>
      <c r="E124" s="486">
        <f>IF(+J96&lt;F123,J96,D124)</f>
        <v>279416</v>
      </c>
      <c r="F124" s="485">
        <f t="shared" si="41"/>
        <v>4821448</v>
      </c>
      <c r="G124" s="485">
        <f t="shared" si="42"/>
        <v>4961156</v>
      </c>
      <c r="H124" s="486">
        <f t="shared" si="43"/>
        <v>843959.79790480481</v>
      </c>
      <c r="I124" s="542">
        <f t="shared" si="44"/>
        <v>843959.79790480481</v>
      </c>
      <c r="J124" s="478">
        <f t="shared" si="24"/>
        <v>0</v>
      </c>
      <c r="K124" s="478"/>
      <c r="L124" s="487"/>
      <c r="M124" s="478">
        <f t="shared" si="26"/>
        <v>0</v>
      </c>
      <c r="N124" s="487"/>
      <c r="O124" s="478">
        <f t="shared" si="28"/>
        <v>0</v>
      </c>
      <c r="P124" s="478">
        <f t="shared" si="29"/>
        <v>0</v>
      </c>
    </row>
    <row r="125" spans="2:16">
      <c r="B125" s="160" t="str">
        <f t="shared" si="30"/>
        <v/>
      </c>
      <c r="C125" s="472">
        <f>IF(D93="","-",+C124+1)</f>
        <v>2035</v>
      </c>
      <c r="D125" s="347">
        <f>IF(F124+SUM(E$99:E124)=D$92,F124,D$92-SUM(E$99:E124))</f>
        <v>4821448</v>
      </c>
      <c r="E125" s="486">
        <f>IF(+J96&lt;F124,J96,D125)</f>
        <v>279416</v>
      </c>
      <c r="F125" s="485">
        <f t="shared" si="41"/>
        <v>4542032</v>
      </c>
      <c r="G125" s="485">
        <f t="shared" si="42"/>
        <v>4681740</v>
      </c>
      <c r="H125" s="486">
        <f t="shared" si="43"/>
        <v>812164.27084712533</v>
      </c>
      <c r="I125" s="542">
        <f t="shared" si="44"/>
        <v>812164.27084712533</v>
      </c>
      <c r="J125" s="478">
        <f t="shared" si="24"/>
        <v>0</v>
      </c>
      <c r="K125" s="478"/>
      <c r="L125" s="487"/>
      <c r="M125" s="478">
        <f t="shared" si="26"/>
        <v>0</v>
      </c>
      <c r="N125" s="487"/>
      <c r="O125" s="478">
        <f t="shared" si="28"/>
        <v>0</v>
      </c>
      <c r="P125" s="478">
        <f t="shared" si="29"/>
        <v>0</v>
      </c>
    </row>
    <row r="126" spans="2:16">
      <c r="B126" s="160" t="str">
        <f t="shared" si="30"/>
        <v/>
      </c>
      <c r="C126" s="472">
        <f>IF(D93="","-",+C125+1)</f>
        <v>2036</v>
      </c>
      <c r="D126" s="347">
        <f>IF(F125+SUM(E$99:E125)=D$92,F125,D$92-SUM(E$99:E125))</f>
        <v>4542032</v>
      </c>
      <c r="E126" s="486">
        <f>IF(+J96&lt;F125,J96,D126)</f>
        <v>279416</v>
      </c>
      <c r="F126" s="485">
        <f t="shared" si="41"/>
        <v>4262616</v>
      </c>
      <c r="G126" s="485">
        <f t="shared" si="42"/>
        <v>4402324</v>
      </c>
      <c r="H126" s="486">
        <f t="shared" si="43"/>
        <v>780368.74378944584</v>
      </c>
      <c r="I126" s="542">
        <f t="shared" si="44"/>
        <v>780368.74378944584</v>
      </c>
      <c r="J126" s="478">
        <f t="shared" si="24"/>
        <v>0</v>
      </c>
      <c r="K126" s="478"/>
      <c r="L126" s="487"/>
      <c r="M126" s="478">
        <f t="shared" si="26"/>
        <v>0</v>
      </c>
      <c r="N126" s="487"/>
      <c r="O126" s="478">
        <f t="shared" si="28"/>
        <v>0</v>
      </c>
      <c r="P126" s="478">
        <f t="shared" si="29"/>
        <v>0</v>
      </c>
    </row>
    <row r="127" spans="2:16">
      <c r="B127" s="160" t="str">
        <f t="shared" si="30"/>
        <v/>
      </c>
      <c r="C127" s="472">
        <f>IF(D93="","-",+C126+1)</f>
        <v>2037</v>
      </c>
      <c r="D127" s="347">
        <f>IF(F126+SUM(E$99:E126)=D$92,F126,D$92-SUM(E$99:E126))</f>
        <v>4262616</v>
      </c>
      <c r="E127" s="486">
        <f>IF(+J96&lt;F126,J96,D127)</f>
        <v>279416</v>
      </c>
      <c r="F127" s="485">
        <f t="shared" si="41"/>
        <v>3983200</v>
      </c>
      <c r="G127" s="485">
        <f t="shared" si="42"/>
        <v>4122908</v>
      </c>
      <c r="H127" s="486">
        <f t="shared" si="43"/>
        <v>748573.21673176636</v>
      </c>
      <c r="I127" s="542">
        <f t="shared" si="44"/>
        <v>748573.21673176636</v>
      </c>
      <c r="J127" s="478">
        <f t="shared" si="24"/>
        <v>0</v>
      </c>
      <c r="K127" s="478"/>
      <c r="L127" s="487"/>
      <c r="M127" s="478">
        <f t="shared" si="26"/>
        <v>0</v>
      </c>
      <c r="N127" s="487"/>
      <c r="O127" s="478">
        <f t="shared" si="28"/>
        <v>0</v>
      </c>
      <c r="P127" s="478">
        <f t="shared" si="29"/>
        <v>0</v>
      </c>
    </row>
    <row r="128" spans="2:16">
      <c r="B128" s="160" t="str">
        <f t="shared" si="30"/>
        <v/>
      </c>
      <c r="C128" s="472">
        <f>IF(D93="","-",+C127+1)</f>
        <v>2038</v>
      </c>
      <c r="D128" s="347">
        <f>IF(F127+SUM(E$99:E127)=D$92,F127,D$92-SUM(E$99:E127))</f>
        <v>3983200</v>
      </c>
      <c r="E128" s="486">
        <f>IF(+J96&lt;F127,J96,D128)</f>
        <v>279416</v>
      </c>
      <c r="F128" s="485">
        <f t="shared" si="41"/>
        <v>3703784</v>
      </c>
      <c r="G128" s="485">
        <f t="shared" si="42"/>
        <v>3843492</v>
      </c>
      <c r="H128" s="486">
        <f t="shared" si="43"/>
        <v>716777.68967408687</v>
      </c>
      <c r="I128" s="542">
        <f t="shared" si="44"/>
        <v>716777.68967408687</v>
      </c>
      <c r="J128" s="478">
        <f t="shared" si="24"/>
        <v>0</v>
      </c>
      <c r="K128" s="478"/>
      <c r="L128" s="487"/>
      <c r="M128" s="478">
        <f t="shared" si="26"/>
        <v>0</v>
      </c>
      <c r="N128" s="487"/>
      <c r="O128" s="478">
        <f t="shared" si="28"/>
        <v>0</v>
      </c>
      <c r="P128" s="478">
        <f t="shared" si="29"/>
        <v>0</v>
      </c>
    </row>
    <row r="129" spans="2:16">
      <c r="B129" s="160" t="str">
        <f t="shared" si="30"/>
        <v/>
      </c>
      <c r="C129" s="472">
        <f>IF(D93="","-",+C128+1)</f>
        <v>2039</v>
      </c>
      <c r="D129" s="347">
        <f>IF(F128+SUM(E$99:E128)=D$92,F128,D$92-SUM(E$99:E128))</f>
        <v>3703784</v>
      </c>
      <c r="E129" s="486">
        <f>IF(+J96&lt;F128,J96,D129)</f>
        <v>279416</v>
      </c>
      <c r="F129" s="485">
        <f t="shared" si="41"/>
        <v>3424368</v>
      </c>
      <c r="G129" s="485">
        <f t="shared" si="42"/>
        <v>3564076</v>
      </c>
      <c r="H129" s="486">
        <f t="shared" si="43"/>
        <v>684982.16261640738</v>
      </c>
      <c r="I129" s="542">
        <f t="shared" si="44"/>
        <v>684982.16261640738</v>
      </c>
      <c r="J129" s="478">
        <f t="shared" si="24"/>
        <v>0</v>
      </c>
      <c r="K129" s="478"/>
      <c r="L129" s="487"/>
      <c r="M129" s="478">
        <f t="shared" si="26"/>
        <v>0</v>
      </c>
      <c r="N129" s="487"/>
      <c r="O129" s="478">
        <f t="shared" si="28"/>
        <v>0</v>
      </c>
      <c r="P129" s="478">
        <f t="shared" si="29"/>
        <v>0</v>
      </c>
    </row>
    <row r="130" spans="2:16">
      <c r="B130" s="160" t="str">
        <f t="shared" si="30"/>
        <v/>
      </c>
      <c r="C130" s="472">
        <f>IF(D93="","-",+C129+1)</f>
        <v>2040</v>
      </c>
      <c r="D130" s="347">
        <f>IF(F129+SUM(E$99:E129)=D$92,F129,D$92-SUM(E$99:E129))</f>
        <v>3424368</v>
      </c>
      <c r="E130" s="486">
        <f>IF(+J96&lt;F129,J96,D130)</f>
        <v>279416</v>
      </c>
      <c r="F130" s="485">
        <f t="shared" si="41"/>
        <v>3144952</v>
      </c>
      <c r="G130" s="485">
        <f t="shared" si="42"/>
        <v>3284660</v>
      </c>
      <c r="H130" s="486">
        <f t="shared" si="43"/>
        <v>653186.6355587279</v>
      </c>
      <c r="I130" s="542">
        <f t="shared" si="44"/>
        <v>653186.6355587279</v>
      </c>
      <c r="J130" s="478">
        <f t="shared" si="24"/>
        <v>0</v>
      </c>
      <c r="K130" s="478"/>
      <c r="L130" s="487"/>
      <c r="M130" s="478">
        <f t="shared" si="26"/>
        <v>0</v>
      </c>
      <c r="N130" s="487"/>
      <c r="O130" s="478">
        <f t="shared" si="28"/>
        <v>0</v>
      </c>
      <c r="P130" s="478">
        <f t="shared" si="29"/>
        <v>0</v>
      </c>
    </row>
    <row r="131" spans="2:16">
      <c r="B131" s="160" t="str">
        <f t="shared" si="30"/>
        <v/>
      </c>
      <c r="C131" s="472">
        <f>IF(D93="","-",+C130+1)</f>
        <v>2041</v>
      </c>
      <c r="D131" s="347">
        <f>IF(F130+SUM(E$99:E130)=D$92,F130,D$92-SUM(E$99:E130))</f>
        <v>3144952</v>
      </c>
      <c r="E131" s="486">
        <f>IF(+J96&lt;F130,J96,D131)</f>
        <v>279416</v>
      </c>
      <c r="F131" s="485">
        <f t="shared" ref="F131:F154" si="45">+D131-E131</f>
        <v>2865536</v>
      </c>
      <c r="G131" s="485">
        <f t="shared" ref="G131:G154" si="46">+(F131+D131)/2</f>
        <v>3005244</v>
      </c>
      <c r="H131" s="486">
        <f t="shared" si="43"/>
        <v>621391.10850104841</v>
      </c>
      <c r="I131" s="542">
        <f t="shared" si="44"/>
        <v>621391.10850104841</v>
      </c>
      <c r="J131" s="478">
        <f t="shared" ref="J131:J154" si="47">+I131-H131</f>
        <v>0</v>
      </c>
      <c r="K131" s="478"/>
      <c r="L131" s="487"/>
      <c r="M131" s="478">
        <f t="shared" ref="M131:M154" si="48">IF(L131&lt;&gt;0,+H131-L131,0)</f>
        <v>0</v>
      </c>
      <c r="N131" s="487"/>
      <c r="O131" s="478">
        <f t="shared" ref="O131:O154" si="49">IF(N131&lt;&gt;0,+I131-N131,0)</f>
        <v>0</v>
      </c>
      <c r="P131" s="478">
        <f t="shared" ref="P131:P154" si="50">+O131-M131</f>
        <v>0</v>
      </c>
    </row>
    <row r="132" spans="2:16">
      <c r="B132" s="160" t="str">
        <f t="shared" si="30"/>
        <v/>
      </c>
      <c r="C132" s="472">
        <f>IF(D93="","-",+C131+1)</f>
        <v>2042</v>
      </c>
      <c r="D132" s="347">
        <f>IF(F131+SUM(E$99:E131)=D$92,F131,D$92-SUM(E$99:E131))</f>
        <v>2865536</v>
      </c>
      <c r="E132" s="486">
        <f>IF(+J96&lt;F131,J96,D132)</f>
        <v>279416</v>
      </c>
      <c r="F132" s="485">
        <f t="shared" si="45"/>
        <v>2586120</v>
      </c>
      <c r="G132" s="485">
        <f t="shared" si="46"/>
        <v>2725828</v>
      </c>
      <c r="H132" s="486">
        <f t="shared" si="43"/>
        <v>589595.58144336892</v>
      </c>
      <c r="I132" s="542">
        <f t="shared" si="44"/>
        <v>589595.58144336892</v>
      </c>
      <c r="J132" s="478">
        <f t="shared" si="47"/>
        <v>0</v>
      </c>
      <c r="K132" s="478"/>
      <c r="L132" s="487"/>
      <c r="M132" s="478">
        <f t="shared" si="48"/>
        <v>0</v>
      </c>
      <c r="N132" s="487"/>
      <c r="O132" s="478">
        <f t="shared" si="49"/>
        <v>0</v>
      </c>
      <c r="P132" s="478">
        <f t="shared" si="50"/>
        <v>0</v>
      </c>
    </row>
    <row r="133" spans="2:16">
      <c r="B133" s="160" t="str">
        <f t="shared" si="30"/>
        <v/>
      </c>
      <c r="C133" s="472">
        <f>IF(D93="","-",+C132+1)</f>
        <v>2043</v>
      </c>
      <c r="D133" s="347">
        <f>IF(F132+SUM(E$99:E132)=D$92,F132,D$92-SUM(E$99:E132))</f>
        <v>2586120</v>
      </c>
      <c r="E133" s="486">
        <f>IF(+J96&lt;F132,J96,D133)</f>
        <v>279416</v>
      </c>
      <c r="F133" s="485">
        <f t="shared" si="45"/>
        <v>2306704</v>
      </c>
      <c r="G133" s="485">
        <f t="shared" si="46"/>
        <v>2446412</v>
      </c>
      <c r="H133" s="486">
        <f t="shared" si="43"/>
        <v>557800.05438568944</v>
      </c>
      <c r="I133" s="542">
        <f t="shared" si="44"/>
        <v>557800.05438568944</v>
      </c>
      <c r="J133" s="478">
        <f t="shared" si="47"/>
        <v>0</v>
      </c>
      <c r="K133" s="478"/>
      <c r="L133" s="487"/>
      <c r="M133" s="478">
        <f t="shared" si="48"/>
        <v>0</v>
      </c>
      <c r="N133" s="487"/>
      <c r="O133" s="478">
        <f t="shared" si="49"/>
        <v>0</v>
      </c>
      <c r="P133" s="478">
        <f t="shared" si="50"/>
        <v>0</v>
      </c>
    </row>
    <row r="134" spans="2:16">
      <c r="B134" s="160" t="str">
        <f t="shared" si="30"/>
        <v/>
      </c>
      <c r="C134" s="472">
        <f>IF(D93="","-",+C133+1)</f>
        <v>2044</v>
      </c>
      <c r="D134" s="347">
        <f>IF(F133+SUM(E$99:E133)=D$92,F133,D$92-SUM(E$99:E133))</f>
        <v>2306704</v>
      </c>
      <c r="E134" s="486">
        <f>IF(+J96&lt;F133,J96,D134)</f>
        <v>279416</v>
      </c>
      <c r="F134" s="485">
        <f t="shared" si="45"/>
        <v>2027288</v>
      </c>
      <c r="G134" s="485">
        <f t="shared" si="46"/>
        <v>2166996</v>
      </c>
      <c r="H134" s="486">
        <f t="shared" si="43"/>
        <v>526004.52732800995</v>
      </c>
      <c r="I134" s="542">
        <f t="shared" si="44"/>
        <v>526004.52732800995</v>
      </c>
      <c r="J134" s="478">
        <f t="shared" si="47"/>
        <v>0</v>
      </c>
      <c r="K134" s="478"/>
      <c r="L134" s="487"/>
      <c r="M134" s="478">
        <f t="shared" si="48"/>
        <v>0</v>
      </c>
      <c r="N134" s="487"/>
      <c r="O134" s="478">
        <f t="shared" si="49"/>
        <v>0</v>
      </c>
      <c r="P134" s="478">
        <f t="shared" si="50"/>
        <v>0</v>
      </c>
    </row>
    <row r="135" spans="2:16">
      <c r="B135" s="160" t="str">
        <f t="shared" si="30"/>
        <v/>
      </c>
      <c r="C135" s="472">
        <f>IF(D93="","-",+C134+1)</f>
        <v>2045</v>
      </c>
      <c r="D135" s="347">
        <f>IF(F134+SUM(E$99:E134)=D$92,F134,D$92-SUM(E$99:E134))</f>
        <v>2027288</v>
      </c>
      <c r="E135" s="486">
        <f>IF(+J96&lt;F134,J96,D135)</f>
        <v>279416</v>
      </c>
      <c r="F135" s="485">
        <f t="shared" si="45"/>
        <v>1747872</v>
      </c>
      <c r="G135" s="485">
        <f t="shared" si="46"/>
        <v>1887580</v>
      </c>
      <c r="H135" s="486">
        <f t="shared" si="43"/>
        <v>494209.00027033046</v>
      </c>
      <c r="I135" s="542">
        <f t="shared" si="44"/>
        <v>494209.00027033046</v>
      </c>
      <c r="J135" s="478">
        <f t="shared" si="47"/>
        <v>0</v>
      </c>
      <c r="K135" s="478"/>
      <c r="L135" s="487"/>
      <c r="M135" s="478">
        <f t="shared" si="48"/>
        <v>0</v>
      </c>
      <c r="N135" s="487"/>
      <c r="O135" s="478">
        <f t="shared" si="49"/>
        <v>0</v>
      </c>
      <c r="P135" s="478">
        <f t="shared" si="50"/>
        <v>0</v>
      </c>
    </row>
    <row r="136" spans="2:16">
      <c r="B136" s="160" t="str">
        <f t="shared" si="30"/>
        <v/>
      </c>
      <c r="C136" s="472">
        <f>IF(D93="","-",+C135+1)</f>
        <v>2046</v>
      </c>
      <c r="D136" s="347">
        <f>IF(F135+SUM(E$99:E135)=D$92,F135,D$92-SUM(E$99:E135))</f>
        <v>1747872</v>
      </c>
      <c r="E136" s="486">
        <f>IF(+J96&lt;F135,J96,D136)</f>
        <v>279416</v>
      </c>
      <c r="F136" s="485">
        <f t="shared" si="45"/>
        <v>1468456</v>
      </c>
      <c r="G136" s="485">
        <f t="shared" si="46"/>
        <v>1608164</v>
      </c>
      <c r="H136" s="486">
        <f t="shared" si="43"/>
        <v>462413.47321265098</v>
      </c>
      <c r="I136" s="542">
        <f t="shared" si="44"/>
        <v>462413.47321265098</v>
      </c>
      <c r="J136" s="478">
        <f t="shared" si="47"/>
        <v>0</v>
      </c>
      <c r="K136" s="478"/>
      <c r="L136" s="487"/>
      <c r="M136" s="478">
        <f t="shared" si="48"/>
        <v>0</v>
      </c>
      <c r="N136" s="487"/>
      <c r="O136" s="478">
        <f t="shared" si="49"/>
        <v>0</v>
      </c>
      <c r="P136" s="478">
        <f t="shared" si="50"/>
        <v>0</v>
      </c>
    </row>
    <row r="137" spans="2:16">
      <c r="B137" s="160" t="str">
        <f t="shared" si="30"/>
        <v/>
      </c>
      <c r="C137" s="472">
        <f>IF(D93="","-",+C136+1)</f>
        <v>2047</v>
      </c>
      <c r="D137" s="347">
        <f>IF(F136+SUM(E$99:E136)=D$92,F136,D$92-SUM(E$99:E136))</f>
        <v>1468456</v>
      </c>
      <c r="E137" s="486">
        <f>IF(+J96&lt;F136,J96,D137)</f>
        <v>279416</v>
      </c>
      <c r="F137" s="485">
        <f t="shared" si="45"/>
        <v>1189040</v>
      </c>
      <c r="G137" s="485">
        <f t="shared" si="46"/>
        <v>1328748</v>
      </c>
      <c r="H137" s="486">
        <f t="shared" si="43"/>
        <v>430617.94615497149</v>
      </c>
      <c r="I137" s="542">
        <f t="shared" si="44"/>
        <v>430617.94615497149</v>
      </c>
      <c r="J137" s="478">
        <f t="shared" si="47"/>
        <v>0</v>
      </c>
      <c r="K137" s="478"/>
      <c r="L137" s="487"/>
      <c r="M137" s="478">
        <f t="shared" si="48"/>
        <v>0</v>
      </c>
      <c r="N137" s="487"/>
      <c r="O137" s="478">
        <f t="shared" si="49"/>
        <v>0</v>
      </c>
      <c r="P137" s="478">
        <f t="shared" si="50"/>
        <v>0</v>
      </c>
    </row>
    <row r="138" spans="2:16">
      <c r="B138" s="160" t="str">
        <f t="shared" si="30"/>
        <v/>
      </c>
      <c r="C138" s="472">
        <f>IF(D93="","-",+C137+1)</f>
        <v>2048</v>
      </c>
      <c r="D138" s="347">
        <f>IF(F137+SUM(E$99:E137)=D$92,F137,D$92-SUM(E$99:E137))</f>
        <v>1189040</v>
      </c>
      <c r="E138" s="486">
        <f>IF(+J96&lt;F137,J96,D138)</f>
        <v>279416</v>
      </c>
      <c r="F138" s="485">
        <f t="shared" si="45"/>
        <v>909624</v>
      </c>
      <c r="G138" s="485">
        <f t="shared" si="46"/>
        <v>1049332</v>
      </c>
      <c r="H138" s="486">
        <f t="shared" si="43"/>
        <v>398822.419097292</v>
      </c>
      <c r="I138" s="542">
        <f t="shared" si="44"/>
        <v>398822.419097292</v>
      </c>
      <c r="J138" s="478">
        <f t="shared" si="47"/>
        <v>0</v>
      </c>
      <c r="K138" s="478"/>
      <c r="L138" s="487"/>
      <c r="M138" s="478">
        <f t="shared" si="48"/>
        <v>0</v>
      </c>
      <c r="N138" s="487"/>
      <c r="O138" s="478">
        <f t="shared" si="49"/>
        <v>0</v>
      </c>
      <c r="P138" s="478">
        <f t="shared" si="50"/>
        <v>0</v>
      </c>
    </row>
    <row r="139" spans="2:16">
      <c r="B139" s="160" t="str">
        <f t="shared" si="30"/>
        <v/>
      </c>
      <c r="C139" s="472">
        <f>IF(D93="","-",+C138+1)</f>
        <v>2049</v>
      </c>
      <c r="D139" s="347">
        <f>IF(F138+SUM(E$99:E138)=D$92,F138,D$92-SUM(E$99:E138))</f>
        <v>909624</v>
      </c>
      <c r="E139" s="486">
        <f>IF(+J96&lt;F138,J96,D139)</f>
        <v>279416</v>
      </c>
      <c r="F139" s="485">
        <f t="shared" si="45"/>
        <v>630208</v>
      </c>
      <c r="G139" s="485">
        <f t="shared" si="46"/>
        <v>769916</v>
      </c>
      <c r="H139" s="486">
        <f t="shared" si="43"/>
        <v>367026.89203961252</v>
      </c>
      <c r="I139" s="542">
        <f t="shared" si="44"/>
        <v>367026.89203961252</v>
      </c>
      <c r="J139" s="478">
        <f t="shared" si="47"/>
        <v>0</v>
      </c>
      <c r="K139" s="478"/>
      <c r="L139" s="487"/>
      <c r="M139" s="478">
        <f t="shared" si="48"/>
        <v>0</v>
      </c>
      <c r="N139" s="487"/>
      <c r="O139" s="478">
        <f t="shared" si="49"/>
        <v>0</v>
      </c>
      <c r="P139" s="478">
        <f t="shared" si="50"/>
        <v>0</v>
      </c>
    </row>
    <row r="140" spans="2:16">
      <c r="B140" s="160" t="str">
        <f t="shared" si="30"/>
        <v/>
      </c>
      <c r="C140" s="472">
        <f>IF(D93="","-",+C139+1)</f>
        <v>2050</v>
      </c>
      <c r="D140" s="347">
        <f>IF(F139+SUM(E$99:E139)=D$92,F139,D$92-SUM(E$99:E139))</f>
        <v>630208</v>
      </c>
      <c r="E140" s="486">
        <f>IF(+J96&lt;F139,J96,D140)</f>
        <v>279416</v>
      </c>
      <c r="F140" s="485">
        <f t="shared" si="45"/>
        <v>350792</v>
      </c>
      <c r="G140" s="485">
        <f t="shared" si="46"/>
        <v>490500</v>
      </c>
      <c r="H140" s="486">
        <f t="shared" si="43"/>
        <v>335231.36498193297</v>
      </c>
      <c r="I140" s="542">
        <f t="shared" si="44"/>
        <v>335231.36498193297</v>
      </c>
      <c r="J140" s="478">
        <f t="shared" si="47"/>
        <v>0</v>
      </c>
      <c r="K140" s="478"/>
      <c r="L140" s="487"/>
      <c r="M140" s="478">
        <f t="shared" si="48"/>
        <v>0</v>
      </c>
      <c r="N140" s="487"/>
      <c r="O140" s="478">
        <f t="shared" si="49"/>
        <v>0</v>
      </c>
      <c r="P140" s="478">
        <f t="shared" si="50"/>
        <v>0</v>
      </c>
    </row>
    <row r="141" spans="2:16">
      <c r="B141" s="160" t="str">
        <f t="shared" si="30"/>
        <v/>
      </c>
      <c r="C141" s="472">
        <f>IF(D93="","-",+C140+1)</f>
        <v>2051</v>
      </c>
      <c r="D141" s="347">
        <f>IF(F140+SUM(E$99:E140)=D$92,F140,D$92-SUM(E$99:E140))</f>
        <v>350792</v>
      </c>
      <c r="E141" s="486">
        <f>IF(+J96&lt;F140,J96,D141)</f>
        <v>279416</v>
      </c>
      <c r="F141" s="485">
        <f t="shared" si="45"/>
        <v>71376</v>
      </c>
      <c r="G141" s="485">
        <f t="shared" si="46"/>
        <v>211084</v>
      </c>
      <c r="H141" s="486">
        <f t="shared" si="43"/>
        <v>303435.83792425349</v>
      </c>
      <c r="I141" s="542">
        <f t="shared" si="44"/>
        <v>303435.83792425349</v>
      </c>
      <c r="J141" s="478">
        <f t="shared" si="47"/>
        <v>0</v>
      </c>
      <c r="K141" s="478"/>
      <c r="L141" s="487"/>
      <c r="M141" s="478">
        <f t="shared" si="48"/>
        <v>0</v>
      </c>
      <c r="N141" s="487"/>
      <c r="O141" s="478">
        <f t="shared" si="49"/>
        <v>0</v>
      </c>
      <c r="P141" s="478">
        <f t="shared" si="50"/>
        <v>0</v>
      </c>
    </row>
    <row r="142" spans="2:16">
      <c r="B142" s="160" t="str">
        <f t="shared" si="30"/>
        <v/>
      </c>
      <c r="C142" s="472">
        <f>IF(D93="","-",+C141+1)</f>
        <v>2052</v>
      </c>
      <c r="D142" s="347">
        <f>IF(F141+SUM(E$99:E141)=D$92,F141,D$92-SUM(E$99:E141))</f>
        <v>71376</v>
      </c>
      <c r="E142" s="486">
        <f>IF(+J96&lt;F141,J96,D142)</f>
        <v>71376</v>
      </c>
      <c r="F142" s="485">
        <f t="shared" si="45"/>
        <v>0</v>
      </c>
      <c r="G142" s="485">
        <f t="shared" si="46"/>
        <v>35688</v>
      </c>
      <c r="H142" s="486">
        <f t="shared" si="43"/>
        <v>75437.037197706886</v>
      </c>
      <c r="I142" s="542">
        <f t="shared" si="44"/>
        <v>75437.037197706886</v>
      </c>
      <c r="J142" s="478">
        <f t="shared" si="47"/>
        <v>0</v>
      </c>
      <c r="K142" s="478"/>
      <c r="L142" s="487"/>
      <c r="M142" s="478">
        <f t="shared" si="48"/>
        <v>0</v>
      </c>
      <c r="N142" s="487"/>
      <c r="O142" s="478">
        <f t="shared" si="49"/>
        <v>0</v>
      </c>
      <c r="P142" s="478">
        <f t="shared" si="50"/>
        <v>0</v>
      </c>
    </row>
    <row r="143" spans="2:16">
      <c r="B143" s="160" t="str">
        <f t="shared" si="30"/>
        <v/>
      </c>
      <c r="C143" s="472">
        <f>IF(D93="","-",+C142+1)</f>
        <v>2053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45"/>
        <v>0</v>
      </c>
      <c r="G143" s="485">
        <f t="shared" si="46"/>
        <v>0</v>
      </c>
      <c r="H143" s="486">
        <f t="shared" si="43"/>
        <v>0</v>
      </c>
      <c r="I143" s="542">
        <f t="shared" si="44"/>
        <v>0</v>
      </c>
      <c r="J143" s="478">
        <f t="shared" si="47"/>
        <v>0</v>
      </c>
      <c r="K143" s="478"/>
      <c r="L143" s="487"/>
      <c r="M143" s="478">
        <f t="shared" si="48"/>
        <v>0</v>
      </c>
      <c r="N143" s="487"/>
      <c r="O143" s="478">
        <f t="shared" si="49"/>
        <v>0</v>
      </c>
      <c r="P143" s="478">
        <f t="shared" si="50"/>
        <v>0</v>
      </c>
    </row>
    <row r="144" spans="2:16">
      <c r="B144" s="160" t="str">
        <f t="shared" si="30"/>
        <v/>
      </c>
      <c r="C144" s="472">
        <f>IF(D93="","-",+C143+1)</f>
        <v>2054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45"/>
        <v>0</v>
      </c>
      <c r="G144" s="485">
        <f t="shared" si="46"/>
        <v>0</v>
      </c>
      <c r="H144" s="486">
        <f t="shared" si="43"/>
        <v>0</v>
      </c>
      <c r="I144" s="542">
        <f t="shared" si="44"/>
        <v>0</v>
      </c>
      <c r="J144" s="478">
        <f t="shared" si="47"/>
        <v>0</v>
      </c>
      <c r="K144" s="478"/>
      <c r="L144" s="487"/>
      <c r="M144" s="478">
        <f t="shared" si="48"/>
        <v>0</v>
      </c>
      <c r="N144" s="487"/>
      <c r="O144" s="478">
        <f t="shared" si="49"/>
        <v>0</v>
      </c>
      <c r="P144" s="478">
        <f t="shared" si="50"/>
        <v>0</v>
      </c>
    </row>
    <row r="145" spans="2:16">
      <c r="B145" s="160" t="str">
        <f t="shared" si="30"/>
        <v/>
      </c>
      <c r="C145" s="472">
        <f>IF(D93="","-",+C144+1)</f>
        <v>2055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45"/>
        <v>0</v>
      </c>
      <c r="G145" s="485">
        <f t="shared" si="46"/>
        <v>0</v>
      </c>
      <c r="H145" s="486">
        <f t="shared" si="43"/>
        <v>0</v>
      </c>
      <c r="I145" s="542">
        <f t="shared" si="44"/>
        <v>0</v>
      </c>
      <c r="J145" s="478">
        <f t="shared" si="47"/>
        <v>0</v>
      </c>
      <c r="K145" s="478"/>
      <c r="L145" s="487"/>
      <c r="M145" s="478">
        <f t="shared" si="48"/>
        <v>0</v>
      </c>
      <c r="N145" s="487"/>
      <c r="O145" s="478">
        <f t="shared" si="49"/>
        <v>0</v>
      </c>
      <c r="P145" s="478">
        <f t="shared" si="50"/>
        <v>0</v>
      </c>
    </row>
    <row r="146" spans="2:16">
      <c r="B146" s="160" t="str">
        <f t="shared" si="30"/>
        <v/>
      </c>
      <c r="C146" s="472">
        <f>IF(D93="","-",+C145+1)</f>
        <v>2056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45"/>
        <v>0</v>
      </c>
      <c r="G146" s="485">
        <f t="shared" si="46"/>
        <v>0</v>
      </c>
      <c r="H146" s="486">
        <f t="shared" si="43"/>
        <v>0</v>
      </c>
      <c r="I146" s="542">
        <f t="shared" si="44"/>
        <v>0</v>
      </c>
      <c r="J146" s="478">
        <f t="shared" si="47"/>
        <v>0</v>
      </c>
      <c r="K146" s="478"/>
      <c r="L146" s="487"/>
      <c r="M146" s="478">
        <f t="shared" si="48"/>
        <v>0</v>
      </c>
      <c r="N146" s="487"/>
      <c r="O146" s="478">
        <f t="shared" si="49"/>
        <v>0</v>
      </c>
      <c r="P146" s="478">
        <f t="shared" si="50"/>
        <v>0</v>
      </c>
    </row>
    <row r="147" spans="2:16">
      <c r="B147" s="160" t="str">
        <f t="shared" si="30"/>
        <v/>
      </c>
      <c r="C147" s="472">
        <f>IF(D93="","-",+C146+1)</f>
        <v>2057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45"/>
        <v>0</v>
      </c>
      <c r="G147" s="485">
        <f t="shared" si="46"/>
        <v>0</v>
      </c>
      <c r="H147" s="486">
        <f t="shared" si="43"/>
        <v>0</v>
      </c>
      <c r="I147" s="542">
        <f t="shared" si="44"/>
        <v>0</v>
      </c>
      <c r="J147" s="478">
        <f t="shared" si="47"/>
        <v>0</v>
      </c>
      <c r="K147" s="478"/>
      <c r="L147" s="487"/>
      <c r="M147" s="478">
        <f t="shared" si="48"/>
        <v>0</v>
      </c>
      <c r="N147" s="487"/>
      <c r="O147" s="478">
        <f t="shared" si="49"/>
        <v>0</v>
      </c>
      <c r="P147" s="478">
        <f t="shared" si="50"/>
        <v>0</v>
      </c>
    </row>
    <row r="148" spans="2:16">
      <c r="B148" s="160" t="str">
        <f t="shared" si="30"/>
        <v/>
      </c>
      <c r="C148" s="472">
        <f>IF(D93="","-",+C147+1)</f>
        <v>2058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45"/>
        <v>0</v>
      </c>
      <c r="G148" s="485">
        <f t="shared" si="46"/>
        <v>0</v>
      </c>
      <c r="H148" s="486">
        <f t="shared" si="43"/>
        <v>0</v>
      </c>
      <c r="I148" s="542">
        <f t="shared" si="44"/>
        <v>0</v>
      </c>
      <c r="J148" s="478">
        <f t="shared" si="47"/>
        <v>0</v>
      </c>
      <c r="K148" s="478"/>
      <c r="L148" s="487"/>
      <c r="M148" s="478">
        <f t="shared" si="48"/>
        <v>0</v>
      </c>
      <c r="N148" s="487"/>
      <c r="O148" s="478">
        <f t="shared" si="49"/>
        <v>0</v>
      </c>
      <c r="P148" s="478">
        <f t="shared" si="50"/>
        <v>0</v>
      </c>
    </row>
    <row r="149" spans="2:16">
      <c r="B149" s="160" t="str">
        <f t="shared" si="30"/>
        <v/>
      </c>
      <c r="C149" s="472">
        <f>IF(D93="","-",+C148+1)</f>
        <v>2059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45"/>
        <v>0</v>
      </c>
      <c r="G149" s="485">
        <f t="shared" si="46"/>
        <v>0</v>
      </c>
      <c r="H149" s="486">
        <f t="shared" si="43"/>
        <v>0</v>
      </c>
      <c r="I149" s="542">
        <f t="shared" si="44"/>
        <v>0</v>
      </c>
      <c r="J149" s="478">
        <f t="shared" si="47"/>
        <v>0</v>
      </c>
      <c r="K149" s="478"/>
      <c r="L149" s="487"/>
      <c r="M149" s="478">
        <f t="shared" si="48"/>
        <v>0</v>
      </c>
      <c r="N149" s="487"/>
      <c r="O149" s="478">
        <f t="shared" si="49"/>
        <v>0</v>
      </c>
      <c r="P149" s="478">
        <f t="shared" si="50"/>
        <v>0</v>
      </c>
    </row>
    <row r="150" spans="2:16">
      <c r="B150" s="160" t="str">
        <f t="shared" si="30"/>
        <v/>
      </c>
      <c r="C150" s="472">
        <f>IF(D93="","-",+C149+1)</f>
        <v>2060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45"/>
        <v>0</v>
      </c>
      <c r="G150" s="485">
        <f t="shared" si="46"/>
        <v>0</v>
      </c>
      <c r="H150" s="486">
        <f t="shared" si="43"/>
        <v>0</v>
      </c>
      <c r="I150" s="542">
        <f t="shared" si="44"/>
        <v>0</v>
      </c>
      <c r="J150" s="478">
        <f t="shared" si="47"/>
        <v>0</v>
      </c>
      <c r="K150" s="478"/>
      <c r="L150" s="487"/>
      <c r="M150" s="478">
        <f t="shared" si="48"/>
        <v>0</v>
      </c>
      <c r="N150" s="487"/>
      <c r="O150" s="478">
        <f t="shared" si="49"/>
        <v>0</v>
      </c>
      <c r="P150" s="478">
        <f t="shared" si="50"/>
        <v>0</v>
      </c>
    </row>
    <row r="151" spans="2:16">
      <c r="B151" s="160" t="str">
        <f t="shared" si="30"/>
        <v/>
      </c>
      <c r="C151" s="472">
        <f>IF(D93="","-",+C150+1)</f>
        <v>2061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45"/>
        <v>0</v>
      </c>
      <c r="G151" s="485">
        <f t="shared" si="46"/>
        <v>0</v>
      </c>
      <c r="H151" s="486">
        <f t="shared" si="43"/>
        <v>0</v>
      </c>
      <c r="I151" s="542">
        <f t="shared" si="44"/>
        <v>0</v>
      </c>
      <c r="J151" s="478">
        <f t="shared" si="47"/>
        <v>0</v>
      </c>
      <c r="K151" s="478"/>
      <c r="L151" s="487"/>
      <c r="M151" s="478">
        <f t="shared" si="48"/>
        <v>0</v>
      </c>
      <c r="N151" s="487"/>
      <c r="O151" s="478">
        <f t="shared" si="49"/>
        <v>0</v>
      </c>
      <c r="P151" s="478">
        <f t="shared" si="50"/>
        <v>0</v>
      </c>
    </row>
    <row r="152" spans="2:16">
      <c r="B152" s="160" t="str">
        <f t="shared" si="30"/>
        <v/>
      </c>
      <c r="C152" s="472">
        <f>IF(D93="","-",+C151+1)</f>
        <v>2062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45"/>
        <v>0</v>
      </c>
      <c r="G152" s="485">
        <f t="shared" si="46"/>
        <v>0</v>
      </c>
      <c r="H152" s="486">
        <f t="shared" si="43"/>
        <v>0</v>
      </c>
      <c r="I152" s="542">
        <f t="shared" si="44"/>
        <v>0</v>
      </c>
      <c r="J152" s="478">
        <f t="shared" si="47"/>
        <v>0</v>
      </c>
      <c r="K152" s="478"/>
      <c r="L152" s="487"/>
      <c r="M152" s="478">
        <f t="shared" si="48"/>
        <v>0</v>
      </c>
      <c r="N152" s="487"/>
      <c r="O152" s="478">
        <f t="shared" si="49"/>
        <v>0</v>
      </c>
      <c r="P152" s="478">
        <f t="shared" si="50"/>
        <v>0</v>
      </c>
    </row>
    <row r="153" spans="2:16">
      <c r="B153" s="160" t="str">
        <f t="shared" si="30"/>
        <v/>
      </c>
      <c r="C153" s="472">
        <f>IF(D93="","-",+C152+1)</f>
        <v>2063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45"/>
        <v>0</v>
      </c>
      <c r="G153" s="485">
        <f t="shared" si="46"/>
        <v>0</v>
      </c>
      <c r="H153" s="486">
        <f t="shared" si="43"/>
        <v>0</v>
      </c>
      <c r="I153" s="542">
        <f t="shared" si="44"/>
        <v>0</v>
      </c>
      <c r="J153" s="478">
        <f t="shared" si="47"/>
        <v>0</v>
      </c>
      <c r="K153" s="478"/>
      <c r="L153" s="487"/>
      <c r="M153" s="478">
        <f t="shared" si="48"/>
        <v>0</v>
      </c>
      <c r="N153" s="487"/>
      <c r="O153" s="478">
        <f t="shared" si="49"/>
        <v>0</v>
      </c>
      <c r="P153" s="478">
        <f t="shared" si="50"/>
        <v>0</v>
      </c>
    </row>
    <row r="154" spans="2:16" ht="13.5" thickBot="1">
      <c r="B154" s="160" t="str">
        <f t="shared" si="30"/>
        <v/>
      </c>
      <c r="C154" s="489">
        <f>IF(D93="","-",+C153+1)</f>
        <v>2064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5"/>
        <v>0</v>
      </c>
      <c r="G154" s="490">
        <f t="shared" si="46"/>
        <v>0</v>
      </c>
      <c r="H154" s="490">
        <f t="shared" si="43"/>
        <v>0</v>
      </c>
      <c r="I154" s="545">
        <f t="shared" si="44"/>
        <v>0</v>
      </c>
      <c r="J154" s="495">
        <f t="shared" si="47"/>
        <v>0</v>
      </c>
      <c r="K154" s="478"/>
      <c r="L154" s="494"/>
      <c r="M154" s="495">
        <f t="shared" si="48"/>
        <v>0</v>
      </c>
      <c r="N154" s="494"/>
      <c r="O154" s="495">
        <f t="shared" si="49"/>
        <v>0</v>
      </c>
      <c r="P154" s="495">
        <f t="shared" si="50"/>
        <v>0</v>
      </c>
    </row>
    <row r="155" spans="2:16">
      <c r="C155" s="347" t="s">
        <v>77</v>
      </c>
      <c r="D155" s="348"/>
      <c r="E155" s="348">
        <f>SUM(E99:E154)</f>
        <v>11456065</v>
      </c>
      <c r="F155" s="348"/>
      <c r="G155" s="348"/>
      <c r="H155" s="348">
        <f>SUM(H99:H154)</f>
        <v>42822810.745615378</v>
      </c>
      <c r="I155" s="348">
        <f>SUM(I99:I154)</f>
        <v>42822810.745615378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96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58" priority="1" stopIfTrue="1" operator="equal">
      <formula>$I$10</formula>
    </cfRule>
  </conditionalFormatting>
  <conditionalFormatting sqref="C99:C154">
    <cfRule type="cellIs" dxfId="57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2"/>
  <dimension ref="A1:P1048576"/>
  <sheetViews>
    <sheetView zoomScaleNormal="100" zoomScaleSheetLayoutView="75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4 of 29</v>
      </c>
    </row>
    <row r="2" spans="1:16" ht="20.25">
      <c r="A2" s="555"/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 t="s">
        <v>251</v>
      </c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VLOOKUP(I10,C17:I72,5)-O5</f>
        <v>1474606.7116279069</v>
      </c>
      <c r="O5" s="556">
        <f>1307.4*12</f>
        <v>15688.800000000001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VLOOKUP(I10,C17:I72,6)-O5</f>
        <v>1474606.7116279069</v>
      </c>
      <c r="O6" s="233"/>
      <c r="P6" s="233"/>
    </row>
    <row r="7" spans="1:16" ht="13.5" thickBot="1">
      <c r="C7" s="431" t="s">
        <v>46</v>
      </c>
      <c r="D7" s="432" t="s">
        <v>207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82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14615636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2008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7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339898.51162790699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557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2008</v>
      </c>
      <c r="D17" s="558">
        <v>2264444</v>
      </c>
      <c r="E17" s="474">
        <v>21774</v>
      </c>
      <c r="F17" s="473">
        <v>2242670</v>
      </c>
      <c r="G17" s="474">
        <v>215833</v>
      </c>
      <c r="H17" s="474">
        <v>215833</v>
      </c>
      <c r="I17" s="475">
        <f t="shared" ref="I17:I48" si="0">H17-G17</f>
        <v>0</v>
      </c>
      <c r="J17" s="349"/>
      <c r="K17" s="476">
        <v>215833</v>
      </c>
      <c r="L17" s="559">
        <f t="shared" ref="L17:L48" si="1">IF(K17&lt;&gt;0,+G17-K17,0)</f>
        <v>0</v>
      </c>
      <c r="M17" s="554">
        <v>215833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>IU</v>
      </c>
      <c r="C18" s="472">
        <f>IF(D11="","-",+C17+1)</f>
        <v>2009</v>
      </c>
      <c r="D18" s="473">
        <v>14429811</v>
      </c>
      <c r="E18" s="480">
        <v>274418</v>
      </c>
      <c r="F18" s="473">
        <v>14155393</v>
      </c>
      <c r="G18" s="480">
        <v>2443110</v>
      </c>
      <c r="H18" s="480">
        <v>2443110</v>
      </c>
      <c r="I18" s="475">
        <f t="shared" si="0"/>
        <v>0</v>
      </c>
      <c r="J18" s="475"/>
      <c r="K18" s="476">
        <v>2443110</v>
      </c>
      <c r="L18" s="478">
        <f t="shared" si="1"/>
        <v>0</v>
      </c>
      <c r="M18" s="476">
        <v>2443110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>IU</v>
      </c>
      <c r="C19" s="472">
        <f>IF(D11="","-",+C18+1)</f>
        <v>2010</v>
      </c>
      <c r="D19" s="479">
        <v>14390719</v>
      </c>
      <c r="E19" s="480">
        <v>262266.26785714284</v>
      </c>
      <c r="F19" s="479">
        <v>14128452.732142856</v>
      </c>
      <c r="G19" s="480">
        <v>2300952.2678571427</v>
      </c>
      <c r="H19" s="481">
        <v>2300952.2678571427</v>
      </c>
      <c r="I19" s="475">
        <f t="shared" si="0"/>
        <v>0</v>
      </c>
      <c r="J19" s="475"/>
      <c r="K19" s="476">
        <f t="shared" ref="K19:K24" si="4">G19</f>
        <v>2300952.2678571427</v>
      </c>
      <c r="L19" s="550">
        <f t="shared" si="1"/>
        <v>0</v>
      </c>
      <c r="M19" s="476">
        <f t="shared" ref="M19:M24" si="5">H19</f>
        <v>2300952.2678571427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6">IF(D20=F19,"","IU")</f>
        <v>IU</v>
      </c>
      <c r="C20" s="472">
        <f>IF(D11="","-",+C19+1)</f>
        <v>2011</v>
      </c>
      <c r="D20" s="479">
        <v>14057177.732142856</v>
      </c>
      <c r="E20" s="480">
        <v>286581.09803921566</v>
      </c>
      <c r="F20" s="479">
        <v>13770596.634103641</v>
      </c>
      <c r="G20" s="480">
        <v>2442276.0980392154</v>
      </c>
      <c r="H20" s="481">
        <v>2442276.0980392154</v>
      </c>
      <c r="I20" s="475">
        <f t="shared" si="0"/>
        <v>0</v>
      </c>
      <c r="J20" s="475"/>
      <c r="K20" s="476">
        <f t="shared" si="4"/>
        <v>2442276.0980392154</v>
      </c>
      <c r="L20" s="550">
        <f t="shared" si="1"/>
        <v>0</v>
      </c>
      <c r="M20" s="476">
        <f t="shared" si="5"/>
        <v>2442276.0980392154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6"/>
        <v/>
      </c>
      <c r="C21" s="472">
        <f>IF(D12="","-",+C20+1)</f>
        <v>2012</v>
      </c>
      <c r="D21" s="479">
        <v>13770596.634103641</v>
      </c>
      <c r="E21" s="480">
        <v>281069.92307692306</v>
      </c>
      <c r="F21" s="479">
        <v>13489526.711026717</v>
      </c>
      <c r="G21" s="480">
        <v>2158902.923076923</v>
      </c>
      <c r="H21" s="481">
        <v>2158902.923076923</v>
      </c>
      <c r="I21" s="475">
        <f t="shared" si="0"/>
        <v>0</v>
      </c>
      <c r="J21" s="475"/>
      <c r="K21" s="476">
        <f t="shared" si="4"/>
        <v>2158902.923076923</v>
      </c>
      <c r="L21" s="550">
        <f t="shared" si="1"/>
        <v>0</v>
      </c>
      <c r="M21" s="476">
        <f t="shared" si="5"/>
        <v>2158902.923076923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si="6"/>
        <v/>
      </c>
      <c r="C22" s="472">
        <f>IF(D11="","-",+C21+1)</f>
        <v>2013</v>
      </c>
      <c r="D22" s="479">
        <v>13489526.711026717</v>
      </c>
      <c r="E22" s="480">
        <v>281069.92307692306</v>
      </c>
      <c r="F22" s="479">
        <v>13208456.787949793</v>
      </c>
      <c r="G22" s="480">
        <v>2167326.923076923</v>
      </c>
      <c r="H22" s="481">
        <v>2167326.923076923</v>
      </c>
      <c r="I22" s="475">
        <v>0</v>
      </c>
      <c r="J22" s="475"/>
      <c r="K22" s="476">
        <f t="shared" si="4"/>
        <v>2167326.923076923</v>
      </c>
      <c r="L22" s="550">
        <f t="shared" ref="L22:L27" si="7">IF(K22&lt;&gt;0,+G22-K22,0)</f>
        <v>0</v>
      </c>
      <c r="M22" s="476">
        <f t="shared" si="5"/>
        <v>2167326.923076923</v>
      </c>
      <c r="N22" s="478">
        <f t="shared" ref="N22:N27" si="8">IF(M22&lt;&gt;0,+H22-M22,0)</f>
        <v>0</v>
      </c>
      <c r="O22" s="478">
        <f t="shared" ref="O22:O27" si="9">+N22-L22</f>
        <v>0</v>
      </c>
      <c r="P22" s="243"/>
    </row>
    <row r="23" spans="2:16">
      <c r="B23" s="160" t="str">
        <f t="shared" si="6"/>
        <v/>
      </c>
      <c r="C23" s="472">
        <f>IF(D11="","-",+C22+1)</f>
        <v>2014</v>
      </c>
      <c r="D23" s="479">
        <v>13208456.787949793</v>
      </c>
      <c r="E23" s="480">
        <v>281069.92307692306</v>
      </c>
      <c r="F23" s="479">
        <v>12927386.864872869</v>
      </c>
      <c r="G23" s="480">
        <v>2060637.923076923</v>
      </c>
      <c r="H23" s="481">
        <v>2060637.923076923</v>
      </c>
      <c r="I23" s="475">
        <v>0</v>
      </c>
      <c r="J23" s="475"/>
      <c r="K23" s="476">
        <f t="shared" si="4"/>
        <v>2060637.923076923</v>
      </c>
      <c r="L23" s="550">
        <f t="shared" si="7"/>
        <v>0</v>
      </c>
      <c r="M23" s="476">
        <f t="shared" si="5"/>
        <v>2060637.923076923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2015</v>
      </c>
      <c r="D24" s="479">
        <v>12927386.864872869</v>
      </c>
      <c r="E24" s="480">
        <v>281069.92307692306</v>
      </c>
      <c r="F24" s="479">
        <v>12646316.941795945</v>
      </c>
      <c r="G24" s="480">
        <v>2024638.923076923</v>
      </c>
      <c r="H24" s="481">
        <v>2024638.923076923</v>
      </c>
      <c r="I24" s="475">
        <v>0</v>
      </c>
      <c r="J24" s="475"/>
      <c r="K24" s="476">
        <f t="shared" si="4"/>
        <v>2024638.923076923</v>
      </c>
      <c r="L24" s="550">
        <f t="shared" si="7"/>
        <v>0</v>
      </c>
      <c r="M24" s="476">
        <f t="shared" si="5"/>
        <v>2024638.923076923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6"/>
        <v/>
      </c>
      <c r="C25" s="472">
        <f>IF(D11="","-",+C24+1)</f>
        <v>2016</v>
      </c>
      <c r="D25" s="479">
        <v>12646316.941795945</v>
      </c>
      <c r="E25" s="480">
        <v>281069.92307692306</v>
      </c>
      <c r="F25" s="479">
        <v>12365247.018719021</v>
      </c>
      <c r="G25" s="480">
        <v>1902890.923076923</v>
      </c>
      <c r="H25" s="481">
        <v>1902890.923076923</v>
      </c>
      <c r="I25" s="475">
        <f t="shared" si="0"/>
        <v>0</v>
      </c>
      <c r="J25" s="475"/>
      <c r="K25" s="476">
        <f t="shared" ref="K25:K30" si="10">G25</f>
        <v>1902890.923076923</v>
      </c>
      <c r="L25" s="550">
        <f t="shared" si="7"/>
        <v>0</v>
      </c>
      <c r="M25" s="476">
        <f t="shared" ref="M25:M30" si="11">H25</f>
        <v>1902890.923076923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/>
      </c>
      <c r="C26" s="472">
        <f>IF(D11="","-",+C25+1)</f>
        <v>2017</v>
      </c>
      <c r="D26" s="479">
        <v>12365247.018719021</v>
      </c>
      <c r="E26" s="480">
        <v>317731.21739130432</v>
      </c>
      <c r="F26" s="479">
        <v>12047515.801327717</v>
      </c>
      <c r="G26" s="480">
        <v>1850906.2173913042</v>
      </c>
      <c r="H26" s="481">
        <v>1850906.2173913042</v>
      </c>
      <c r="I26" s="475">
        <f t="shared" si="0"/>
        <v>0</v>
      </c>
      <c r="J26" s="475"/>
      <c r="K26" s="476">
        <f t="shared" si="10"/>
        <v>1850906.2173913042</v>
      </c>
      <c r="L26" s="550">
        <f t="shared" si="7"/>
        <v>0</v>
      </c>
      <c r="M26" s="476">
        <f t="shared" si="11"/>
        <v>1850906.2173913042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6"/>
        <v/>
      </c>
      <c r="C27" s="472">
        <f>IF(D11="","-",+C26+1)</f>
        <v>2018</v>
      </c>
      <c r="D27" s="479">
        <v>12047515.801327717</v>
      </c>
      <c r="E27" s="480">
        <v>324791.91111111111</v>
      </c>
      <c r="F27" s="479">
        <v>11722723.890216606</v>
      </c>
      <c r="G27" s="480">
        <v>1911291.9111111111</v>
      </c>
      <c r="H27" s="481">
        <v>1911291.9111111111</v>
      </c>
      <c r="I27" s="475">
        <f t="shared" si="0"/>
        <v>0</v>
      </c>
      <c r="J27" s="475"/>
      <c r="K27" s="476">
        <f t="shared" si="10"/>
        <v>1911291.9111111111</v>
      </c>
      <c r="L27" s="550">
        <f t="shared" si="7"/>
        <v>0</v>
      </c>
      <c r="M27" s="476">
        <f t="shared" si="11"/>
        <v>1911291.9111111111</v>
      </c>
      <c r="N27" s="478">
        <f t="shared" si="8"/>
        <v>0</v>
      </c>
      <c r="O27" s="478">
        <f t="shared" si="9"/>
        <v>0</v>
      </c>
      <c r="P27" s="243"/>
    </row>
    <row r="28" spans="2:16">
      <c r="B28" s="160" t="str">
        <f t="shared" si="6"/>
        <v/>
      </c>
      <c r="C28" s="472">
        <f>IF(D11="","-",+C27+1)</f>
        <v>2019</v>
      </c>
      <c r="D28" s="479">
        <v>11722723.890216606</v>
      </c>
      <c r="E28" s="480">
        <v>324791.91111111111</v>
      </c>
      <c r="F28" s="479">
        <v>11397931.979105495</v>
      </c>
      <c r="G28" s="480">
        <v>1867335.9111111111</v>
      </c>
      <c r="H28" s="481">
        <v>1867335.9111111111</v>
      </c>
      <c r="I28" s="475">
        <f t="shared" si="0"/>
        <v>0</v>
      </c>
      <c r="J28" s="475"/>
      <c r="K28" s="476">
        <f t="shared" si="10"/>
        <v>1867335.9111111111</v>
      </c>
      <c r="L28" s="550">
        <f t="shared" ref="L28" si="12">IF(K28&lt;&gt;0,+G28-K28,0)</f>
        <v>0</v>
      </c>
      <c r="M28" s="476">
        <f t="shared" si="11"/>
        <v>1867335.9111111111</v>
      </c>
      <c r="N28" s="478">
        <f t="shared" ref="N28" si="13">IF(M28&lt;&gt;0,+H28-M28,0)</f>
        <v>0</v>
      </c>
      <c r="O28" s="478">
        <f t="shared" ref="O28" si="14">+N28-L28</f>
        <v>0</v>
      </c>
      <c r="P28" s="243"/>
    </row>
    <row r="29" spans="2:16">
      <c r="B29" s="160" t="str">
        <f t="shared" si="6"/>
        <v/>
      </c>
      <c r="C29" s="472">
        <f>IF(D11="","-",+C28+1)</f>
        <v>2020</v>
      </c>
      <c r="D29" s="479">
        <v>11397931.979105495</v>
      </c>
      <c r="E29" s="480">
        <v>347991.33333333331</v>
      </c>
      <c r="F29" s="479">
        <v>11049940.645772161</v>
      </c>
      <c r="G29" s="480">
        <v>1560230.0708098114</v>
      </c>
      <c r="H29" s="481">
        <v>1560230.0708098114</v>
      </c>
      <c r="I29" s="475">
        <f t="shared" si="0"/>
        <v>0</v>
      </c>
      <c r="J29" s="475"/>
      <c r="K29" s="476">
        <f t="shared" si="10"/>
        <v>1560230.0708098114</v>
      </c>
      <c r="L29" s="550">
        <f t="shared" ref="L29" si="15">IF(K29&lt;&gt;0,+G29-K29,0)</f>
        <v>0</v>
      </c>
      <c r="M29" s="476">
        <f t="shared" si="11"/>
        <v>1560230.0708098114</v>
      </c>
      <c r="N29" s="478">
        <f t="shared" si="2"/>
        <v>0</v>
      </c>
      <c r="O29" s="478">
        <f t="shared" si="3"/>
        <v>0</v>
      </c>
      <c r="P29" s="243"/>
    </row>
    <row r="30" spans="2:16">
      <c r="B30" s="160" t="str">
        <f t="shared" si="6"/>
        <v>IU</v>
      </c>
      <c r="C30" s="472">
        <f>IF(D11="","-",+C29+1)</f>
        <v>2021</v>
      </c>
      <c r="D30" s="479">
        <v>11009341.656883277</v>
      </c>
      <c r="E30" s="480">
        <v>339898.51162790699</v>
      </c>
      <c r="F30" s="479">
        <v>10669443.14525537</v>
      </c>
      <c r="G30" s="480">
        <v>1490295.5116279069</v>
      </c>
      <c r="H30" s="481">
        <v>1490295.5116279069</v>
      </c>
      <c r="I30" s="475">
        <f t="shared" si="0"/>
        <v>0</v>
      </c>
      <c r="J30" s="475"/>
      <c r="K30" s="476">
        <f t="shared" si="10"/>
        <v>1490295.5116279069</v>
      </c>
      <c r="L30" s="550">
        <f t="shared" ref="L30" si="16">IF(K30&lt;&gt;0,+G30-K30,0)</f>
        <v>0</v>
      </c>
      <c r="M30" s="476">
        <f t="shared" si="11"/>
        <v>1490295.5116279069</v>
      </c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6"/>
        <v>IU</v>
      </c>
      <c r="C31" s="472">
        <f>IF(D11="","-",+C30+1)</f>
        <v>2022</v>
      </c>
      <c r="D31" s="485">
        <f>IF(F30+SUM(E$17:E30)=D$10,F30,D$10-SUM(E$17:E30))</f>
        <v>10710042.13414426</v>
      </c>
      <c r="E31" s="484">
        <f>IF(+I14&lt;F30,I14,D31)</f>
        <v>339898.51162790699</v>
      </c>
      <c r="F31" s="485">
        <f t="shared" ref="F31:F72" si="17">+D31-E31</f>
        <v>10370143.622516353</v>
      </c>
      <c r="G31" s="486">
        <f t="shared" ref="G31:G72" si="18">(D31+F31)/2*I$12+E31</f>
        <v>1552602.9714750871</v>
      </c>
      <c r="H31" s="455">
        <f t="shared" ref="H31:H72" si="19">+(D31+F31)/2*I$13+E31</f>
        <v>1552602.9714750871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6"/>
        <v/>
      </c>
      <c r="C32" s="472">
        <f>IF(D11="","-",+C31+1)</f>
        <v>2023</v>
      </c>
      <c r="D32" s="485">
        <f>IF(F31+SUM(E$17:E31)=D$10,F31,D$10-SUM(E$17:E31))</f>
        <v>10370143.622516353</v>
      </c>
      <c r="E32" s="484">
        <f>IF(+I14&lt;F31,I14,D32)</f>
        <v>339898.51162790699</v>
      </c>
      <c r="F32" s="485">
        <f t="shared" si="17"/>
        <v>10030245.110888446</v>
      </c>
      <c r="G32" s="486">
        <f t="shared" si="18"/>
        <v>1513495.4943679331</v>
      </c>
      <c r="H32" s="455">
        <f t="shared" si="19"/>
        <v>1513495.4943679331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6"/>
        <v/>
      </c>
      <c r="C33" s="472">
        <f>IF(D11="","-",+C32+1)</f>
        <v>2024</v>
      </c>
      <c r="D33" s="485">
        <f>IF(F32+SUM(E$17:E32)=D$10,F32,D$10-SUM(E$17:E32))</f>
        <v>10030245.110888446</v>
      </c>
      <c r="E33" s="484">
        <f>IF(+I14&lt;F32,I14,D33)</f>
        <v>339898.51162790699</v>
      </c>
      <c r="F33" s="485">
        <f t="shared" si="17"/>
        <v>9690346.5992605388</v>
      </c>
      <c r="G33" s="486">
        <f t="shared" si="18"/>
        <v>1474388.0172607787</v>
      </c>
      <c r="H33" s="455">
        <f t="shared" si="19"/>
        <v>1474388.0172607787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6"/>
        <v/>
      </c>
      <c r="C34" s="472">
        <f>IF(D11="","-",+C33+1)</f>
        <v>2025</v>
      </c>
      <c r="D34" s="485">
        <f>IF(F33+SUM(E$17:E33)=D$10,F33,D$10-SUM(E$17:E33))</f>
        <v>9690346.5992605388</v>
      </c>
      <c r="E34" s="484">
        <f>IF(+I14&lt;F33,I14,D34)</f>
        <v>339898.51162790699</v>
      </c>
      <c r="F34" s="485">
        <f t="shared" si="17"/>
        <v>9350448.0876326319</v>
      </c>
      <c r="G34" s="486">
        <f t="shared" si="18"/>
        <v>1435280.5401536247</v>
      </c>
      <c r="H34" s="455">
        <f t="shared" si="19"/>
        <v>1435280.5401536247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6"/>
        <v/>
      </c>
      <c r="C35" s="472">
        <f>IF(D11="","-",+C34+1)</f>
        <v>2026</v>
      </c>
      <c r="D35" s="485">
        <f>IF(F34+SUM(E$17:E34)=D$10,F34,D$10-SUM(E$17:E34))</f>
        <v>9350448.0876326319</v>
      </c>
      <c r="E35" s="484">
        <f>IF(+I14&lt;F34,I14,D35)</f>
        <v>339898.51162790699</v>
      </c>
      <c r="F35" s="485">
        <f t="shared" si="17"/>
        <v>9010549.5760047249</v>
      </c>
      <c r="G35" s="486">
        <f t="shared" si="18"/>
        <v>1396173.0630464703</v>
      </c>
      <c r="H35" s="455">
        <f t="shared" si="19"/>
        <v>1396173.0630464703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6"/>
        <v/>
      </c>
      <c r="C36" s="472">
        <f>IF(D11="","-",+C35+1)</f>
        <v>2027</v>
      </c>
      <c r="D36" s="485">
        <f>IF(F35+SUM(E$17:E35)=D$10,F35,D$10-SUM(E$17:E35))</f>
        <v>9010549.5760047249</v>
      </c>
      <c r="E36" s="484">
        <f>IF(+I14&lt;F35,I14,D36)</f>
        <v>339898.51162790699</v>
      </c>
      <c r="F36" s="485">
        <f t="shared" si="17"/>
        <v>8670651.064376818</v>
      </c>
      <c r="G36" s="486">
        <f t="shared" si="18"/>
        <v>1357065.5859393163</v>
      </c>
      <c r="H36" s="455">
        <f t="shared" si="19"/>
        <v>1357065.5859393163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6"/>
        <v/>
      </c>
      <c r="C37" s="472">
        <f>IF(D11="","-",+C36+1)</f>
        <v>2028</v>
      </c>
      <c r="D37" s="485">
        <f>IF(F36+SUM(E$17:E36)=D$10,F36,D$10-SUM(E$17:E36))</f>
        <v>8670651.064376818</v>
      </c>
      <c r="E37" s="484">
        <f>IF(+I14&lt;F36,I14,D37)</f>
        <v>339898.51162790699</v>
      </c>
      <c r="F37" s="485">
        <f t="shared" si="17"/>
        <v>8330752.5527489111</v>
      </c>
      <c r="G37" s="486">
        <f t="shared" si="18"/>
        <v>1317958.1088321619</v>
      </c>
      <c r="H37" s="455">
        <f t="shared" si="19"/>
        <v>1317958.1088321619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6"/>
        <v/>
      </c>
      <c r="C38" s="472">
        <f>IF(D11="","-",+C37+1)</f>
        <v>2029</v>
      </c>
      <c r="D38" s="485">
        <f>IF(F37+SUM(E$17:E37)=D$10,F37,D$10-SUM(E$17:E37))</f>
        <v>8330752.5527489111</v>
      </c>
      <c r="E38" s="484">
        <f>IF(+I14&lt;F37,I14,D38)</f>
        <v>339898.51162790699</v>
      </c>
      <c r="F38" s="485">
        <f t="shared" si="17"/>
        <v>7990854.0411210041</v>
      </c>
      <c r="G38" s="486">
        <f t="shared" si="18"/>
        <v>1278850.6317250079</v>
      </c>
      <c r="H38" s="455">
        <f t="shared" si="19"/>
        <v>1278850.6317250079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6"/>
        <v/>
      </c>
      <c r="C39" s="472">
        <f>IF(D11="","-",+C38+1)</f>
        <v>2030</v>
      </c>
      <c r="D39" s="485">
        <f>IF(F38+SUM(E$17:E38)=D$10,F38,D$10-SUM(E$17:E38))</f>
        <v>7990854.0411210041</v>
      </c>
      <c r="E39" s="484">
        <f>IF(+I14&lt;F38,I14,D39)</f>
        <v>339898.51162790699</v>
      </c>
      <c r="F39" s="485">
        <f t="shared" si="17"/>
        <v>7650955.5294930972</v>
      </c>
      <c r="G39" s="486">
        <f t="shared" si="18"/>
        <v>1239743.1546178537</v>
      </c>
      <c r="H39" s="455">
        <f t="shared" si="19"/>
        <v>1239743.1546178537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6"/>
        <v/>
      </c>
      <c r="C40" s="472">
        <f>IF(D11="","-",+C39+1)</f>
        <v>2031</v>
      </c>
      <c r="D40" s="485">
        <f>IF(F39+SUM(E$17:E39)=D$10,F39,D$10-SUM(E$17:E39))</f>
        <v>7650955.5294930972</v>
      </c>
      <c r="E40" s="484">
        <f>IF(+I14&lt;F39,I14,D40)</f>
        <v>339898.51162790699</v>
      </c>
      <c r="F40" s="485">
        <f t="shared" si="17"/>
        <v>7311057.0178651903</v>
      </c>
      <c r="G40" s="486">
        <f t="shared" si="18"/>
        <v>1200635.6775106995</v>
      </c>
      <c r="H40" s="455">
        <f t="shared" si="19"/>
        <v>1200635.6775106995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6"/>
        <v/>
      </c>
      <c r="C41" s="472">
        <f>IF(D11="","-",+C40+1)</f>
        <v>2032</v>
      </c>
      <c r="D41" s="485">
        <f>IF(F40+SUM(E$17:E40)=D$10,F40,D$10-SUM(E$17:E40))</f>
        <v>7311057.0178651903</v>
      </c>
      <c r="E41" s="484">
        <f>IF(+I14&lt;F40,I14,D41)</f>
        <v>339898.51162790699</v>
      </c>
      <c r="F41" s="485">
        <f t="shared" si="17"/>
        <v>6971158.5062372833</v>
      </c>
      <c r="G41" s="486">
        <f t="shared" si="18"/>
        <v>1161528.2004035453</v>
      </c>
      <c r="H41" s="455">
        <f t="shared" si="19"/>
        <v>1161528.2004035453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6"/>
        <v/>
      </c>
      <c r="C42" s="472">
        <f>IF(D11="","-",+C41+1)</f>
        <v>2033</v>
      </c>
      <c r="D42" s="485">
        <f>IF(F41+SUM(E$17:E41)=D$10,F41,D$10-SUM(E$17:E41))</f>
        <v>6971158.5062372833</v>
      </c>
      <c r="E42" s="484">
        <f>IF(+I14&lt;F41,I14,D42)</f>
        <v>339898.51162790699</v>
      </c>
      <c r="F42" s="485">
        <f t="shared" si="17"/>
        <v>6631259.9946093764</v>
      </c>
      <c r="G42" s="486">
        <f t="shared" si="18"/>
        <v>1122420.7232963911</v>
      </c>
      <c r="H42" s="455">
        <f t="shared" si="19"/>
        <v>1122420.7232963911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6"/>
        <v/>
      </c>
      <c r="C43" s="472">
        <f>IF(D11="","-",+C42+1)</f>
        <v>2034</v>
      </c>
      <c r="D43" s="485">
        <f>IF(F42+SUM(E$17:E42)=D$10,F42,D$10-SUM(E$17:E42))</f>
        <v>6631259.9946093764</v>
      </c>
      <c r="E43" s="484">
        <f>IF(+I14&lt;F42,I14,D43)</f>
        <v>339898.51162790699</v>
      </c>
      <c r="F43" s="485">
        <f t="shared" si="17"/>
        <v>6291361.4829814695</v>
      </c>
      <c r="G43" s="486">
        <f t="shared" si="18"/>
        <v>1083313.2461892369</v>
      </c>
      <c r="H43" s="455">
        <f t="shared" si="19"/>
        <v>1083313.2461892369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6"/>
        <v/>
      </c>
      <c r="C44" s="472">
        <f>IF(D11="","-",+C43+1)</f>
        <v>2035</v>
      </c>
      <c r="D44" s="485">
        <f>IF(F43+SUM(E$17:E43)=D$10,F43,D$10-SUM(E$17:E43))</f>
        <v>6291361.4829814695</v>
      </c>
      <c r="E44" s="484">
        <f>IF(+I14&lt;F43,I14,D44)</f>
        <v>339898.51162790699</v>
      </c>
      <c r="F44" s="485">
        <f t="shared" si="17"/>
        <v>5951462.9713535625</v>
      </c>
      <c r="G44" s="486">
        <f t="shared" si="18"/>
        <v>1044205.7690820827</v>
      </c>
      <c r="H44" s="455">
        <f t="shared" si="19"/>
        <v>1044205.7690820827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6"/>
        <v/>
      </c>
      <c r="C45" s="472">
        <f>IF(D11="","-",+C44+1)</f>
        <v>2036</v>
      </c>
      <c r="D45" s="485">
        <f>IF(F44+SUM(E$17:E44)=D$10,F44,D$10-SUM(E$17:E44))</f>
        <v>5951462.9713535625</v>
      </c>
      <c r="E45" s="484">
        <f>IF(+I14&lt;F44,I14,D45)</f>
        <v>339898.51162790699</v>
      </c>
      <c r="F45" s="485">
        <f t="shared" si="17"/>
        <v>5611564.4597256556</v>
      </c>
      <c r="G45" s="486">
        <f t="shared" si="18"/>
        <v>1005098.2919749285</v>
      </c>
      <c r="H45" s="455">
        <f t="shared" si="19"/>
        <v>1005098.2919749285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6"/>
        <v/>
      </c>
      <c r="C46" s="472">
        <f>IF(D11="","-",+C45+1)</f>
        <v>2037</v>
      </c>
      <c r="D46" s="485">
        <f>IF(F45+SUM(E$17:E45)=D$10,F45,D$10-SUM(E$17:E45))</f>
        <v>5611564.4597256556</v>
      </c>
      <c r="E46" s="484">
        <f>IF(+I14&lt;F45,I14,D46)</f>
        <v>339898.51162790699</v>
      </c>
      <c r="F46" s="485">
        <f t="shared" si="17"/>
        <v>5271665.9480977487</v>
      </c>
      <c r="G46" s="486">
        <f t="shared" si="18"/>
        <v>965990.81486777426</v>
      </c>
      <c r="H46" s="455">
        <f t="shared" si="19"/>
        <v>965990.81486777426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6"/>
        <v/>
      </c>
      <c r="C47" s="472">
        <f>IF(D11="","-",+C46+1)</f>
        <v>2038</v>
      </c>
      <c r="D47" s="485">
        <f>IF(F46+SUM(E$17:E46)=D$10,F46,D$10-SUM(E$17:E46))</f>
        <v>5271665.9480977487</v>
      </c>
      <c r="E47" s="484">
        <f>IF(+I14&lt;F46,I14,D47)</f>
        <v>339898.51162790699</v>
      </c>
      <c r="F47" s="485">
        <f t="shared" si="17"/>
        <v>4931767.4364698417</v>
      </c>
      <c r="G47" s="486">
        <f t="shared" si="18"/>
        <v>926883.33776062005</v>
      </c>
      <c r="H47" s="455">
        <f t="shared" si="19"/>
        <v>926883.33776062005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6"/>
        <v/>
      </c>
      <c r="C48" s="472">
        <f>IF(D11="","-",+C47+1)</f>
        <v>2039</v>
      </c>
      <c r="D48" s="485">
        <f>IF(F47+SUM(E$17:E47)=D$10,F47,D$10-SUM(E$17:E47))</f>
        <v>4931767.4364698417</v>
      </c>
      <c r="E48" s="484">
        <f>IF(+I14&lt;F47,I14,D48)</f>
        <v>339898.51162790699</v>
      </c>
      <c r="F48" s="485">
        <f t="shared" si="17"/>
        <v>4591868.9248419348</v>
      </c>
      <c r="G48" s="486">
        <f t="shared" si="18"/>
        <v>887775.86065346585</v>
      </c>
      <c r="H48" s="455">
        <f t="shared" si="19"/>
        <v>887775.86065346585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6"/>
        <v/>
      </c>
      <c r="C49" s="472">
        <f>IF(D11="","-",+C48+1)</f>
        <v>2040</v>
      </c>
      <c r="D49" s="485">
        <f>IF(F48+SUM(E$17:E48)=D$10,F48,D$10-SUM(E$17:E48))</f>
        <v>4591868.9248419348</v>
      </c>
      <c r="E49" s="484">
        <f>IF(+I14&lt;F48,I14,D49)</f>
        <v>339898.51162790699</v>
      </c>
      <c r="F49" s="485">
        <f t="shared" si="17"/>
        <v>4251970.4132140279</v>
      </c>
      <c r="G49" s="486">
        <f t="shared" si="18"/>
        <v>848668.38354631176</v>
      </c>
      <c r="H49" s="455">
        <f t="shared" si="19"/>
        <v>848668.38354631176</v>
      </c>
      <c r="I49" s="475">
        <f t="shared" ref="I49:I72" si="20">H49-G49</f>
        <v>0</v>
      </c>
      <c r="J49" s="475"/>
      <c r="K49" s="487"/>
      <c r="L49" s="478">
        <f t="shared" ref="L49:L72" si="21">IF(K49&lt;&gt;0,+G49-K49,0)</f>
        <v>0</v>
      </c>
      <c r="M49" s="487"/>
      <c r="N49" s="478">
        <f t="shared" ref="N49:N72" si="22">IF(M49&lt;&gt;0,+H49-M49,0)</f>
        <v>0</v>
      </c>
      <c r="O49" s="478">
        <f t="shared" ref="O49:O72" si="23">+N49-L49</f>
        <v>0</v>
      </c>
      <c r="P49" s="243"/>
    </row>
    <row r="50" spans="2:16">
      <c r="B50" s="160" t="str">
        <f t="shared" si="6"/>
        <v/>
      </c>
      <c r="C50" s="472">
        <f>IF(D11="","-",+C49+1)</f>
        <v>2041</v>
      </c>
      <c r="D50" s="485">
        <f>IF(F49+SUM(E$17:E49)=D$10,F49,D$10-SUM(E$17:E49))</f>
        <v>4251970.4132140279</v>
      </c>
      <c r="E50" s="484">
        <f>IF(+I14&lt;F49,I14,D50)</f>
        <v>339898.51162790699</v>
      </c>
      <c r="F50" s="485">
        <f t="shared" si="17"/>
        <v>3912071.9015861209</v>
      </c>
      <c r="G50" s="486">
        <f t="shared" si="18"/>
        <v>809560.90643915755</v>
      </c>
      <c r="H50" s="455">
        <f t="shared" si="19"/>
        <v>809560.90643915755</v>
      </c>
      <c r="I50" s="475">
        <f t="shared" si="20"/>
        <v>0</v>
      </c>
      <c r="J50" s="475"/>
      <c r="K50" s="487"/>
      <c r="L50" s="478">
        <f t="shared" si="21"/>
        <v>0</v>
      </c>
      <c r="M50" s="487"/>
      <c r="N50" s="478">
        <f t="shared" si="22"/>
        <v>0</v>
      </c>
      <c r="O50" s="478">
        <f t="shared" si="23"/>
        <v>0</v>
      </c>
      <c r="P50" s="243"/>
    </row>
    <row r="51" spans="2:16">
      <c r="B51" s="160" t="str">
        <f t="shared" si="6"/>
        <v/>
      </c>
      <c r="C51" s="472">
        <f>IF(D11="","-",+C50+1)</f>
        <v>2042</v>
      </c>
      <c r="D51" s="485">
        <f>IF(F50+SUM(E$17:E50)=D$10,F50,D$10-SUM(E$17:E50))</f>
        <v>3912071.9015861209</v>
      </c>
      <c r="E51" s="484">
        <f>IF(+I14&lt;F50,I14,D51)</f>
        <v>339898.51162790699</v>
      </c>
      <c r="F51" s="485">
        <f t="shared" si="17"/>
        <v>3572173.389958214</v>
      </c>
      <c r="G51" s="486">
        <f t="shared" si="18"/>
        <v>770453.42933200335</v>
      </c>
      <c r="H51" s="455">
        <f t="shared" si="19"/>
        <v>770453.42933200335</v>
      </c>
      <c r="I51" s="475">
        <f t="shared" si="20"/>
        <v>0</v>
      </c>
      <c r="J51" s="475"/>
      <c r="K51" s="487"/>
      <c r="L51" s="478">
        <f t="shared" si="21"/>
        <v>0</v>
      </c>
      <c r="M51" s="487"/>
      <c r="N51" s="478">
        <f t="shared" si="22"/>
        <v>0</v>
      </c>
      <c r="O51" s="478">
        <f t="shared" si="23"/>
        <v>0</v>
      </c>
      <c r="P51" s="243"/>
    </row>
    <row r="52" spans="2:16">
      <c r="B52" s="160" t="str">
        <f t="shared" si="6"/>
        <v/>
      </c>
      <c r="C52" s="472">
        <f>IF(D11="","-",+C51+1)</f>
        <v>2043</v>
      </c>
      <c r="D52" s="485">
        <f>IF(F51+SUM(E$17:E51)=D$10,F51,D$10-SUM(E$17:E51))</f>
        <v>3572173.389958214</v>
      </c>
      <c r="E52" s="484">
        <f>IF(+I14&lt;F51,I14,D52)</f>
        <v>339898.51162790699</v>
      </c>
      <c r="F52" s="485">
        <f t="shared" si="17"/>
        <v>3232274.8783303071</v>
      </c>
      <c r="G52" s="486">
        <f t="shared" si="18"/>
        <v>731345.95222484926</v>
      </c>
      <c r="H52" s="455">
        <f t="shared" si="19"/>
        <v>731345.95222484926</v>
      </c>
      <c r="I52" s="475">
        <f t="shared" si="20"/>
        <v>0</v>
      </c>
      <c r="J52" s="475"/>
      <c r="K52" s="487"/>
      <c r="L52" s="478">
        <f t="shared" si="21"/>
        <v>0</v>
      </c>
      <c r="M52" s="487"/>
      <c r="N52" s="478">
        <f t="shared" si="22"/>
        <v>0</v>
      </c>
      <c r="O52" s="478">
        <f t="shared" si="23"/>
        <v>0</v>
      </c>
      <c r="P52" s="243"/>
    </row>
    <row r="53" spans="2:16">
      <c r="B53" s="160" t="str">
        <f t="shared" si="6"/>
        <v/>
      </c>
      <c r="C53" s="472">
        <f>IF(D11="","-",+C52+1)</f>
        <v>2044</v>
      </c>
      <c r="D53" s="485">
        <f>IF(F52+SUM(E$17:E52)=D$10,F52,D$10-SUM(E$17:E52))</f>
        <v>3232274.8783303071</v>
      </c>
      <c r="E53" s="484">
        <f>IF(+I14&lt;F52,I14,D53)</f>
        <v>339898.51162790699</v>
      </c>
      <c r="F53" s="485">
        <f t="shared" si="17"/>
        <v>2892376.3667024001</v>
      </c>
      <c r="G53" s="486">
        <f t="shared" si="18"/>
        <v>692238.47511769505</v>
      </c>
      <c r="H53" s="455">
        <f t="shared" si="19"/>
        <v>692238.47511769505</v>
      </c>
      <c r="I53" s="475">
        <f t="shared" si="20"/>
        <v>0</v>
      </c>
      <c r="J53" s="475"/>
      <c r="K53" s="487"/>
      <c r="L53" s="478">
        <f t="shared" si="21"/>
        <v>0</v>
      </c>
      <c r="M53" s="487"/>
      <c r="N53" s="478">
        <f t="shared" si="22"/>
        <v>0</v>
      </c>
      <c r="O53" s="478">
        <f t="shared" si="23"/>
        <v>0</v>
      </c>
      <c r="P53" s="243"/>
    </row>
    <row r="54" spans="2:16">
      <c r="B54" s="160" t="str">
        <f t="shared" si="6"/>
        <v/>
      </c>
      <c r="C54" s="472">
        <f>IF(D11="","-",+C53+1)</f>
        <v>2045</v>
      </c>
      <c r="D54" s="485">
        <f>IF(F53+SUM(E$17:E53)=D$10,F53,D$10-SUM(E$17:E53))</f>
        <v>2892376.3667024001</v>
      </c>
      <c r="E54" s="484">
        <f>IF(+I14&lt;F53,I14,D54)</f>
        <v>339898.51162790699</v>
      </c>
      <c r="F54" s="485">
        <f t="shared" si="17"/>
        <v>2552477.8550744932</v>
      </c>
      <c r="G54" s="486">
        <f t="shared" si="18"/>
        <v>653130.99801054085</v>
      </c>
      <c r="H54" s="455">
        <f t="shared" si="19"/>
        <v>653130.99801054085</v>
      </c>
      <c r="I54" s="475">
        <f t="shared" si="20"/>
        <v>0</v>
      </c>
      <c r="J54" s="475"/>
      <c r="K54" s="487"/>
      <c r="L54" s="478">
        <f t="shared" si="21"/>
        <v>0</v>
      </c>
      <c r="M54" s="487"/>
      <c r="N54" s="478">
        <f t="shared" si="22"/>
        <v>0</v>
      </c>
      <c r="O54" s="478">
        <f t="shared" si="23"/>
        <v>0</v>
      </c>
      <c r="P54" s="243"/>
    </row>
    <row r="55" spans="2:16">
      <c r="B55" s="160" t="str">
        <f t="shared" si="6"/>
        <v/>
      </c>
      <c r="C55" s="472">
        <f>IF(D11="","-",+C54+1)</f>
        <v>2046</v>
      </c>
      <c r="D55" s="485">
        <f>IF(F54+SUM(E$17:E54)=D$10,F54,D$10-SUM(E$17:E54))</f>
        <v>2552477.8550744932</v>
      </c>
      <c r="E55" s="484">
        <f>IF(+I14&lt;F54,I14,D55)</f>
        <v>339898.51162790699</v>
      </c>
      <c r="F55" s="485">
        <f t="shared" si="17"/>
        <v>2212579.3434465863</v>
      </c>
      <c r="G55" s="486">
        <f t="shared" si="18"/>
        <v>614023.52090338664</v>
      </c>
      <c r="H55" s="455">
        <f t="shared" si="19"/>
        <v>614023.52090338664</v>
      </c>
      <c r="I55" s="475">
        <f t="shared" si="20"/>
        <v>0</v>
      </c>
      <c r="J55" s="475"/>
      <c r="K55" s="487"/>
      <c r="L55" s="478">
        <f t="shared" si="21"/>
        <v>0</v>
      </c>
      <c r="M55" s="487"/>
      <c r="N55" s="478">
        <f t="shared" si="22"/>
        <v>0</v>
      </c>
      <c r="O55" s="478">
        <f t="shared" si="23"/>
        <v>0</v>
      </c>
      <c r="P55" s="243"/>
    </row>
    <row r="56" spans="2:16">
      <c r="B56" s="160" t="str">
        <f t="shared" si="6"/>
        <v/>
      </c>
      <c r="C56" s="472">
        <f>IF(D11="","-",+C55+1)</f>
        <v>2047</v>
      </c>
      <c r="D56" s="485">
        <f>IF(F55+SUM(E$17:E55)=D$10,F55,D$10-SUM(E$17:E55))</f>
        <v>2212579.3434465863</v>
      </c>
      <c r="E56" s="484">
        <f>IF(+I14&lt;F55,I14,D56)</f>
        <v>339898.51162790699</v>
      </c>
      <c r="F56" s="485">
        <f t="shared" si="17"/>
        <v>1872680.8318186793</v>
      </c>
      <c r="G56" s="486">
        <f t="shared" si="18"/>
        <v>574916.04379623244</v>
      </c>
      <c r="H56" s="455">
        <f t="shared" si="19"/>
        <v>574916.04379623244</v>
      </c>
      <c r="I56" s="475">
        <f t="shared" si="20"/>
        <v>0</v>
      </c>
      <c r="J56" s="475"/>
      <c r="K56" s="487"/>
      <c r="L56" s="478">
        <f t="shared" si="21"/>
        <v>0</v>
      </c>
      <c r="M56" s="487"/>
      <c r="N56" s="478">
        <f t="shared" si="22"/>
        <v>0</v>
      </c>
      <c r="O56" s="478">
        <f t="shared" si="23"/>
        <v>0</v>
      </c>
      <c r="P56" s="243"/>
    </row>
    <row r="57" spans="2:16">
      <c r="B57" s="160" t="str">
        <f t="shared" si="6"/>
        <v/>
      </c>
      <c r="C57" s="472">
        <f>IF(D11="","-",+C56+1)</f>
        <v>2048</v>
      </c>
      <c r="D57" s="485">
        <f>IF(F56+SUM(E$17:E56)=D$10,F56,D$10-SUM(E$17:E56))</f>
        <v>1872680.8318186793</v>
      </c>
      <c r="E57" s="484">
        <f>IF(+I14&lt;F56,I14,D57)</f>
        <v>339898.51162790699</v>
      </c>
      <c r="F57" s="485">
        <f t="shared" si="17"/>
        <v>1532782.3201907724</v>
      </c>
      <c r="G57" s="486">
        <f t="shared" si="18"/>
        <v>535808.56668907823</v>
      </c>
      <c r="H57" s="455">
        <f t="shared" si="19"/>
        <v>535808.56668907823</v>
      </c>
      <c r="I57" s="475">
        <f t="shared" si="20"/>
        <v>0</v>
      </c>
      <c r="J57" s="475"/>
      <c r="K57" s="487"/>
      <c r="L57" s="478">
        <f t="shared" si="21"/>
        <v>0</v>
      </c>
      <c r="M57" s="487"/>
      <c r="N57" s="478">
        <f t="shared" si="22"/>
        <v>0</v>
      </c>
      <c r="O57" s="478">
        <f t="shared" si="23"/>
        <v>0</v>
      </c>
      <c r="P57" s="243"/>
    </row>
    <row r="58" spans="2:16">
      <c r="B58" s="160" t="str">
        <f t="shared" si="6"/>
        <v/>
      </c>
      <c r="C58" s="472">
        <f>IF(D11="","-",+C57+1)</f>
        <v>2049</v>
      </c>
      <c r="D58" s="485">
        <f>IF(F57+SUM(E$17:E57)=D$10,F57,D$10-SUM(E$17:E57))</f>
        <v>1532782.3201907724</v>
      </c>
      <c r="E58" s="484">
        <f>IF(+I14&lt;F57,I14,D58)</f>
        <v>339898.51162790699</v>
      </c>
      <c r="F58" s="485">
        <f t="shared" si="17"/>
        <v>1192883.8085628655</v>
      </c>
      <c r="G58" s="486">
        <f t="shared" si="18"/>
        <v>496701.08958192402</v>
      </c>
      <c r="H58" s="455">
        <f t="shared" si="19"/>
        <v>496701.08958192402</v>
      </c>
      <c r="I58" s="475">
        <f t="shared" si="20"/>
        <v>0</v>
      </c>
      <c r="J58" s="475"/>
      <c r="K58" s="487"/>
      <c r="L58" s="478">
        <f t="shared" si="21"/>
        <v>0</v>
      </c>
      <c r="M58" s="487"/>
      <c r="N58" s="478">
        <f t="shared" si="22"/>
        <v>0</v>
      </c>
      <c r="O58" s="478">
        <f t="shared" si="23"/>
        <v>0</v>
      </c>
      <c r="P58" s="243"/>
    </row>
    <row r="59" spans="2:16">
      <c r="B59" s="160" t="str">
        <f t="shared" si="6"/>
        <v/>
      </c>
      <c r="C59" s="472">
        <f>IF(D11="","-",+C58+1)</f>
        <v>2050</v>
      </c>
      <c r="D59" s="485">
        <f>IF(F58+SUM(E$17:E58)=D$10,F58,D$10-SUM(E$17:E58))</f>
        <v>1192883.8085628655</v>
      </c>
      <c r="E59" s="484">
        <f>IF(+I14&lt;F58,I14,D59)</f>
        <v>339898.51162790699</v>
      </c>
      <c r="F59" s="485">
        <f t="shared" si="17"/>
        <v>852985.29693495855</v>
      </c>
      <c r="G59" s="486">
        <f t="shared" si="18"/>
        <v>457593.61247476982</v>
      </c>
      <c r="H59" s="455">
        <f t="shared" si="19"/>
        <v>457593.61247476982</v>
      </c>
      <c r="I59" s="475">
        <f t="shared" si="20"/>
        <v>0</v>
      </c>
      <c r="J59" s="475"/>
      <c r="K59" s="487"/>
      <c r="L59" s="478">
        <f t="shared" si="21"/>
        <v>0</v>
      </c>
      <c r="M59" s="487"/>
      <c r="N59" s="478">
        <f t="shared" si="22"/>
        <v>0</v>
      </c>
      <c r="O59" s="478">
        <f t="shared" si="23"/>
        <v>0</v>
      </c>
      <c r="P59" s="243"/>
    </row>
    <row r="60" spans="2:16">
      <c r="B60" s="160" t="str">
        <f t="shared" si="6"/>
        <v/>
      </c>
      <c r="C60" s="472">
        <f>IF(D11="","-",+C59+1)</f>
        <v>2051</v>
      </c>
      <c r="D60" s="485">
        <f>IF(F59+SUM(E$17:E59)=D$10,F59,D$10-SUM(E$17:E59))</f>
        <v>852985.29693495855</v>
      </c>
      <c r="E60" s="484">
        <f>IF(+I14&lt;F59,I14,D60)</f>
        <v>339898.51162790699</v>
      </c>
      <c r="F60" s="485">
        <f t="shared" si="17"/>
        <v>513086.78530705156</v>
      </c>
      <c r="G60" s="486">
        <f t="shared" si="18"/>
        <v>418486.13536761561</v>
      </c>
      <c r="H60" s="455">
        <f t="shared" si="19"/>
        <v>418486.13536761561</v>
      </c>
      <c r="I60" s="475">
        <f t="shared" si="20"/>
        <v>0</v>
      </c>
      <c r="J60" s="475"/>
      <c r="K60" s="487"/>
      <c r="L60" s="478">
        <f t="shared" si="21"/>
        <v>0</v>
      </c>
      <c r="M60" s="487"/>
      <c r="N60" s="478">
        <f t="shared" si="22"/>
        <v>0</v>
      </c>
      <c r="O60" s="478">
        <f t="shared" si="23"/>
        <v>0</v>
      </c>
      <c r="P60" s="243"/>
    </row>
    <row r="61" spans="2:16">
      <c r="B61" s="160" t="str">
        <f t="shared" si="6"/>
        <v/>
      </c>
      <c r="C61" s="472">
        <f>IF(D11="","-",+C60+1)</f>
        <v>2052</v>
      </c>
      <c r="D61" s="485">
        <f>IF(F60+SUM(E$17:E60)=D$10,F60,D$10-SUM(E$17:E60))</f>
        <v>513086.78530705156</v>
      </c>
      <c r="E61" s="484">
        <f>IF(+I14&lt;F60,I14,D61)</f>
        <v>339898.51162790699</v>
      </c>
      <c r="F61" s="485">
        <f t="shared" si="17"/>
        <v>173188.27367914456</v>
      </c>
      <c r="G61" s="486">
        <f t="shared" si="18"/>
        <v>379378.65826046141</v>
      </c>
      <c r="H61" s="455">
        <f t="shared" si="19"/>
        <v>379378.65826046141</v>
      </c>
      <c r="I61" s="475">
        <f t="shared" si="20"/>
        <v>0</v>
      </c>
      <c r="J61" s="475"/>
      <c r="K61" s="487"/>
      <c r="L61" s="478">
        <f t="shared" si="21"/>
        <v>0</v>
      </c>
      <c r="M61" s="487"/>
      <c r="N61" s="478">
        <f t="shared" si="22"/>
        <v>0</v>
      </c>
      <c r="O61" s="478">
        <f t="shared" si="23"/>
        <v>0</v>
      </c>
      <c r="P61" s="243"/>
    </row>
    <row r="62" spans="2:16">
      <c r="B62" s="160" t="str">
        <f t="shared" si="6"/>
        <v/>
      </c>
      <c r="C62" s="472">
        <f>IF(D11="","-",+C61+1)</f>
        <v>2053</v>
      </c>
      <c r="D62" s="485">
        <f>IF(F61+SUM(E$17:E61)=D$10,F61,D$10-SUM(E$17:E61))</f>
        <v>173188.27367914456</v>
      </c>
      <c r="E62" s="484">
        <f>IF(+I14&lt;F61,I14,D62)</f>
        <v>173188.27367914456</v>
      </c>
      <c r="F62" s="485">
        <f t="shared" si="17"/>
        <v>0</v>
      </c>
      <c r="G62" s="486">
        <f t="shared" si="18"/>
        <v>183151.47771863325</v>
      </c>
      <c r="H62" s="455">
        <f t="shared" si="19"/>
        <v>183151.47771863325</v>
      </c>
      <c r="I62" s="475">
        <f t="shared" si="20"/>
        <v>0</v>
      </c>
      <c r="J62" s="475"/>
      <c r="K62" s="487"/>
      <c r="L62" s="478">
        <f t="shared" si="21"/>
        <v>0</v>
      </c>
      <c r="M62" s="487"/>
      <c r="N62" s="478">
        <f t="shared" si="22"/>
        <v>0</v>
      </c>
      <c r="O62" s="478">
        <f t="shared" si="23"/>
        <v>0</v>
      </c>
      <c r="P62" s="243"/>
    </row>
    <row r="63" spans="2:16">
      <c r="B63" s="160" t="str">
        <f t="shared" si="6"/>
        <v/>
      </c>
      <c r="C63" s="472">
        <f>IF(D11="","-",+C62+1)</f>
        <v>2054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7"/>
        <v>0</v>
      </c>
      <c r="G63" s="486">
        <f t="shared" si="18"/>
        <v>0</v>
      </c>
      <c r="H63" s="455">
        <f t="shared" si="19"/>
        <v>0</v>
      </c>
      <c r="I63" s="475">
        <f t="shared" si="20"/>
        <v>0</v>
      </c>
      <c r="J63" s="475"/>
      <c r="K63" s="487"/>
      <c r="L63" s="478">
        <f t="shared" si="21"/>
        <v>0</v>
      </c>
      <c r="M63" s="487"/>
      <c r="N63" s="478">
        <f t="shared" si="22"/>
        <v>0</v>
      </c>
      <c r="O63" s="478">
        <f t="shared" si="23"/>
        <v>0</v>
      </c>
      <c r="P63" s="243"/>
    </row>
    <row r="64" spans="2:16">
      <c r="B64" s="160" t="str">
        <f t="shared" si="6"/>
        <v/>
      </c>
      <c r="C64" s="472">
        <f>IF(D11="","-",+C63+1)</f>
        <v>2055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7"/>
        <v>0</v>
      </c>
      <c r="G64" s="486">
        <f t="shared" si="18"/>
        <v>0</v>
      </c>
      <c r="H64" s="455">
        <f t="shared" si="19"/>
        <v>0</v>
      </c>
      <c r="I64" s="475">
        <f t="shared" si="20"/>
        <v>0</v>
      </c>
      <c r="J64" s="475"/>
      <c r="K64" s="487"/>
      <c r="L64" s="478">
        <f t="shared" si="21"/>
        <v>0</v>
      </c>
      <c r="M64" s="487"/>
      <c r="N64" s="478">
        <f t="shared" si="22"/>
        <v>0</v>
      </c>
      <c r="O64" s="478">
        <f t="shared" si="23"/>
        <v>0</v>
      </c>
      <c r="P64" s="243"/>
    </row>
    <row r="65" spans="2:16">
      <c r="B65" s="160" t="str">
        <f t="shared" si="6"/>
        <v/>
      </c>
      <c r="C65" s="472">
        <f>IF(D11="","-",+C64+1)</f>
        <v>2056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7"/>
        <v>0</v>
      </c>
      <c r="G65" s="486">
        <f t="shared" si="18"/>
        <v>0</v>
      </c>
      <c r="H65" s="455">
        <f t="shared" si="19"/>
        <v>0</v>
      </c>
      <c r="I65" s="475">
        <f t="shared" si="20"/>
        <v>0</v>
      </c>
      <c r="J65" s="475"/>
      <c r="K65" s="487"/>
      <c r="L65" s="478">
        <f t="shared" si="21"/>
        <v>0</v>
      </c>
      <c r="M65" s="487"/>
      <c r="N65" s="478">
        <f t="shared" si="22"/>
        <v>0</v>
      </c>
      <c r="O65" s="478">
        <f t="shared" si="23"/>
        <v>0</v>
      </c>
      <c r="P65" s="243"/>
    </row>
    <row r="66" spans="2:16">
      <c r="B66" s="160" t="str">
        <f t="shared" si="6"/>
        <v/>
      </c>
      <c r="C66" s="472">
        <f>IF(D11="","-",+C65+1)</f>
        <v>2057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7"/>
        <v>0</v>
      </c>
      <c r="G66" s="486">
        <f t="shared" si="18"/>
        <v>0</v>
      </c>
      <c r="H66" s="455">
        <f t="shared" si="19"/>
        <v>0</v>
      </c>
      <c r="I66" s="475">
        <f t="shared" si="20"/>
        <v>0</v>
      </c>
      <c r="J66" s="475"/>
      <c r="K66" s="487"/>
      <c r="L66" s="478">
        <f t="shared" si="21"/>
        <v>0</v>
      </c>
      <c r="M66" s="487"/>
      <c r="N66" s="478">
        <f t="shared" si="22"/>
        <v>0</v>
      </c>
      <c r="O66" s="478">
        <f t="shared" si="23"/>
        <v>0</v>
      </c>
      <c r="P66" s="243"/>
    </row>
    <row r="67" spans="2:16">
      <c r="B67" s="160" t="str">
        <f t="shared" si="6"/>
        <v/>
      </c>
      <c r="C67" s="472">
        <f>IF(D11="","-",+C66+1)</f>
        <v>2058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7"/>
        <v>0</v>
      </c>
      <c r="G67" s="486">
        <f t="shared" si="18"/>
        <v>0</v>
      </c>
      <c r="H67" s="455">
        <f t="shared" si="19"/>
        <v>0</v>
      </c>
      <c r="I67" s="475">
        <f t="shared" si="20"/>
        <v>0</v>
      </c>
      <c r="J67" s="475"/>
      <c r="K67" s="487"/>
      <c r="L67" s="478">
        <f t="shared" si="21"/>
        <v>0</v>
      </c>
      <c r="M67" s="487"/>
      <c r="N67" s="478">
        <f t="shared" si="22"/>
        <v>0</v>
      </c>
      <c r="O67" s="478">
        <f t="shared" si="23"/>
        <v>0</v>
      </c>
      <c r="P67" s="243"/>
    </row>
    <row r="68" spans="2:16">
      <c r="B68" s="160" t="str">
        <f t="shared" si="6"/>
        <v/>
      </c>
      <c r="C68" s="472">
        <f>IF(D11="","-",+C67+1)</f>
        <v>2059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7"/>
        <v>0</v>
      </c>
      <c r="G68" s="486">
        <f t="shared" si="18"/>
        <v>0</v>
      </c>
      <c r="H68" s="455">
        <f t="shared" si="19"/>
        <v>0</v>
      </c>
      <c r="I68" s="475">
        <f t="shared" si="20"/>
        <v>0</v>
      </c>
      <c r="J68" s="475"/>
      <c r="K68" s="487"/>
      <c r="L68" s="478">
        <f t="shared" si="21"/>
        <v>0</v>
      </c>
      <c r="M68" s="487"/>
      <c r="N68" s="478">
        <f t="shared" si="22"/>
        <v>0</v>
      </c>
      <c r="O68" s="478">
        <f t="shared" si="23"/>
        <v>0</v>
      </c>
      <c r="P68" s="243"/>
    </row>
    <row r="69" spans="2:16">
      <c r="B69" s="160" t="str">
        <f t="shared" si="6"/>
        <v/>
      </c>
      <c r="C69" s="472">
        <f>IF(D11="","-",+C68+1)</f>
        <v>2060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7"/>
        <v>0</v>
      </c>
      <c r="G69" s="486">
        <f t="shared" si="18"/>
        <v>0</v>
      </c>
      <c r="H69" s="455">
        <f t="shared" si="19"/>
        <v>0</v>
      </c>
      <c r="I69" s="475">
        <f t="shared" si="20"/>
        <v>0</v>
      </c>
      <c r="J69" s="475"/>
      <c r="K69" s="487"/>
      <c r="L69" s="478">
        <f t="shared" si="21"/>
        <v>0</v>
      </c>
      <c r="M69" s="487"/>
      <c r="N69" s="478">
        <f t="shared" si="22"/>
        <v>0</v>
      </c>
      <c r="O69" s="478">
        <f t="shared" si="23"/>
        <v>0</v>
      </c>
      <c r="P69" s="243"/>
    </row>
    <row r="70" spans="2:16">
      <c r="B70" s="160" t="str">
        <f t="shared" si="6"/>
        <v/>
      </c>
      <c r="C70" s="472">
        <f>IF(D11="","-",+C69+1)</f>
        <v>2061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7"/>
        <v>0</v>
      </c>
      <c r="G70" s="486">
        <f t="shared" si="18"/>
        <v>0</v>
      </c>
      <c r="H70" s="455">
        <f t="shared" si="19"/>
        <v>0</v>
      </c>
      <c r="I70" s="475">
        <f t="shared" si="20"/>
        <v>0</v>
      </c>
      <c r="J70" s="475"/>
      <c r="K70" s="487"/>
      <c r="L70" s="478">
        <f t="shared" si="21"/>
        <v>0</v>
      </c>
      <c r="M70" s="487"/>
      <c r="N70" s="478">
        <f t="shared" si="22"/>
        <v>0</v>
      </c>
      <c r="O70" s="478">
        <f t="shared" si="23"/>
        <v>0</v>
      </c>
      <c r="P70" s="243"/>
    </row>
    <row r="71" spans="2:16">
      <c r="B71" s="160" t="str">
        <f t="shared" si="6"/>
        <v/>
      </c>
      <c r="C71" s="472">
        <f>IF(D11="","-",+C70+1)</f>
        <v>2062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7"/>
        <v>0</v>
      </c>
      <c r="G71" s="486">
        <f t="shared" si="18"/>
        <v>0</v>
      </c>
      <c r="H71" s="455">
        <f t="shared" si="19"/>
        <v>0</v>
      </c>
      <c r="I71" s="475">
        <f t="shared" si="20"/>
        <v>0</v>
      </c>
      <c r="J71" s="475"/>
      <c r="K71" s="487"/>
      <c r="L71" s="478">
        <f t="shared" si="21"/>
        <v>0</v>
      </c>
      <c r="M71" s="487"/>
      <c r="N71" s="478">
        <f t="shared" si="22"/>
        <v>0</v>
      </c>
      <c r="O71" s="478">
        <f t="shared" si="23"/>
        <v>0</v>
      </c>
      <c r="P71" s="243"/>
    </row>
    <row r="72" spans="2:16" ht="13.5" thickBot="1">
      <c r="B72" s="160" t="str">
        <f t="shared" si="6"/>
        <v/>
      </c>
      <c r="C72" s="489">
        <f>IF(D11="","-",+C71+1)</f>
        <v>2063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7"/>
        <v>0</v>
      </c>
      <c r="G72" s="490">
        <f t="shared" si="18"/>
        <v>0</v>
      </c>
      <c r="H72" s="490">
        <f t="shared" si="19"/>
        <v>0</v>
      </c>
      <c r="I72" s="493">
        <f t="shared" si="20"/>
        <v>0</v>
      </c>
      <c r="J72" s="475"/>
      <c r="K72" s="494"/>
      <c r="L72" s="495">
        <f t="shared" si="21"/>
        <v>0</v>
      </c>
      <c r="M72" s="494"/>
      <c r="N72" s="495">
        <f t="shared" si="22"/>
        <v>0</v>
      </c>
      <c r="O72" s="495">
        <f t="shared" si="23"/>
        <v>0</v>
      </c>
      <c r="P72" s="243"/>
    </row>
    <row r="73" spans="2:16">
      <c r="C73" s="347" t="s">
        <v>77</v>
      </c>
      <c r="D73" s="348"/>
      <c r="E73" s="348">
        <f>SUM(E17:E72)</f>
        <v>14615636.000000002</v>
      </c>
      <c r="F73" s="348"/>
      <c r="G73" s="348">
        <f>SUM(G17:G72)</f>
        <v>56525495.341951877</v>
      </c>
      <c r="H73" s="348">
        <f>SUM(H17:H72)</f>
        <v>56525495.341951877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4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 t="str">
        <f>O4</f>
        <v>WFEC DA Adjustment</v>
      </c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IF(J92&lt;D11,0,VLOOKUP(J92,C17:O72,9))-P87</f>
        <v>1474606.7116279069</v>
      </c>
      <c r="N87" s="508">
        <f>IF(J92&lt;D11,0,VLOOKUP(J92,C17:O72,11))-P87</f>
        <v>1474606.7116279069</v>
      </c>
      <c r="O87" s="509">
        <f>+N87-M87</f>
        <v>0</v>
      </c>
      <c r="P87" s="343">
        <f>O5</f>
        <v>15688.800000000001</v>
      </c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IF(J92&lt;D11,0,VLOOKUP(J92,C99:P154,6))-P87</f>
        <v>1558052.1328639174</v>
      </c>
      <c r="N88" s="512">
        <f>IF(J92&lt;D11,0,VLOOKUP(J92,C99:P154,7))-P87</f>
        <v>1558052.1328639174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Cache-Snyder to Altus Jct. 138 kV line (w/2 ring bus stations)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83445.421236010501</v>
      </c>
      <c r="N89" s="517">
        <f>+N88-N87</f>
        <v>83445.421236010501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TP2004147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f>+D10</f>
        <v>14615636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7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356479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560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2008</v>
      </c>
      <c r="D99" s="473">
        <v>0</v>
      </c>
      <c r="E99" s="480">
        <v>114341</v>
      </c>
      <c r="F99" s="479">
        <v>14429811</v>
      </c>
      <c r="G99" s="537">
        <f t="shared" ref="G99:G130" si="24">+(F99+D99)/2</f>
        <v>7214905.5</v>
      </c>
      <c r="H99" s="538">
        <v>1260396</v>
      </c>
      <c r="I99" s="539">
        <v>1260396</v>
      </c>
      <c r="J99" s="478">
        <f t="shared" ref="J99:J131" si="25">+I99-H99</f>
        <v>0</v>
      </c>
      <c r="K99" s="478"/>
      <c r="L99" s="554">
        <v>1260396</v>
      </c>
      <c r="M99" s="477">
        <f t="shared" ref="M99:M130" si="26">IF(L99&lt;&gt;0,+H99-L99,0)</f>
        <v>0</v>
      </c>
      <c r="N99" s="554">
        <f>+L99</f>
        <v>1260396</v>
      </c>
      <c r="O99" s="477">
        <f t="shared" ref="O99:O130" si="27">IF(N99&lt;&gt;0,+I99-N99,0)</f>
        <v>0</v>
      </c>
      <c r="P99" s="477">
        <f t="shared" ref="P99:P130" si="28">+O99-M99</f>
        <v>0</v>
      </c>
    </row>
    <row r="100" spans="1:16">
      <c r="B100" s="160" t="str">
        <f>IF(D100=F99,"","IU")</f>
        <v>IU</v>
      </c>
      <c r="C100" s="472">
        <f>IF(D93="","-",+C99+1)</f>
        <v>2009</v>
      </c>
      <c r="D100" s="473">
        <v>14569170</v>
      </c>
      <c r="E100" s="480">
        <v>262206</v>
      </c>
      <c r="F100" s="479">
        <v>14306964</v>
      </c>
      <c r="G100" s="479">
        <v>14438067</v>
      </c>
      <c r="H100" s="480">
        <v>2373171</v>
      </c>
      <c r="I100" s="481">
        <v>2373171</v>
      </c>
      <c r="J100" s="478">
        <f t="shared" si="25"/>
        <v>0</v>
      </c>
      <c r="K100" s="478"/>
      <c r="L100" s="476">
        <f t="shared" ref="L100:L105" si="29">H100</f>
        <v>2373171</v>
      </c>
      <c r="M100" s="478">
        <f t="shared" si="26"/>
        <v>0</v>
      </c>
      <c r="N100" s="476">
        <f t="shared" ref="N100:N105" si="30">I100</f>
        <v>2373171</v>
      </c>
      <c r="O100" s="478">
        <f t="shared" si="27"/>
        <v>0</v>
      </c>
      <c r="P100" s="478">
        <f t="shared" si="28"/>
        <v>0</v>
      </c>
    </row>
    <row r="101" spans="1:16">
      <c r="B101" s="160" t="str">
        <f t="shared" ref="B101:B154" si="31">IF(D101=F100,"","IU")</f>
        <v>IU</v>
      </c>
      <c r="C101" s="472">
        <f>IF(D93="","-",+C100+1)</f>
        <v>2010</v>
      </c>
      <c r="D101" s="473">
        <v>14239089</v>
      </c>
      <c r="E101" s="480">
        <v>286581</v>
      </c>
      <c r="F101" s="479">
        <v>13952508</v>
      </c>
      <c r="G101" s="479">
        <v>14095798.5</v>
      </c>
      <c r="H101" s="480">
        <v>2553400</v>
      </c>
      <c r="I101" s="481">
        <v>2553400</v>
      </c>
      <c r="J101" s="478">
        <f t="shared" si="25"/>
        <v>0</v>
      </c>
      <c r="K101" s="478"/>
      <c r="L101" s="540">
        <f t="shared" si="29"/>
        <v>2553400</v>
      </c>
      <c r="M101" s="541">
        <f t="shared" si="26"/>
        <v>0</v>
      </c>
      <c r="N101" s="540">
        <f t="shared" si="30"/>
        <v>2553400</v>
      </c>
      <c r="O101" s="478">
        <f t="shared" si="27"/>
        <v>0</v>
      </c>
      <c r="P101" s="478">
        <f t="shared" si="28"/>
        <v>0</v>
      </c>
    </row>
    <row r="102" spans="1:16">
      <c r="B102" s="160" t="str">
        <f t="shared" si="31"/>
        <v/>
      </c>
      <c r="C102" s="472">
        <f>IF(D93="","-",+C101+1)</f>
        <v>2011</v>
      </c>
      <c r="D102" s="473">
        <v>13952508</v>
      </c>
      <c r="E102" s="480">
        <v>281070</v>
      </c>
      <c r="F102" s="479">
        <v>13671438</v>
      </c>
      <c r="G102" s="479">
        <v>13811973</v>
      </c>
      <c r="H102" s="480">
        <v>2212169</v>
      </c>
      <c r="I102" s="481">
        <v>2212169</v>
      </c>
      <c r="J102" s="478">
        <f t="shared" si="25"/>
        <v>0</v>
      </c>
      <c r="K102" s="478"/>
      <c r="L102" s="540">
        <f t="shared" si="29"/>
        <v>2212169</v>
      </c>
      <c r="M102" s="541">
        <f t="shared" si="26"/>
        <v>0</v>
      </c>
      <c r="N102" s="540">
        <f t="shared" si="30"/>
        <v>2212169</v>
      </c>
      <c r="O102" s="478">
        <f t="shared" si="27"/>
        <v>0</v>
      </c>
      <c r="P102" s="478">
        <f t="shared" si="28"/>
        <v>0</v>
      </c>
    </row>
    <row r="103" spans="1:16">
      <c r="B103" s="160" t="str">
        <f t="shared" si="31"/>
        <v/>
      </c>
      <c r="C103" s="472">
        <f>IF(D93="","-",+C102+1)</f>
        <v>2012</v>
      </c>
      <c r="D103" s="473">
        <v>13671438</v>
      </c>
      <c r="E103" s="480">
        <v>281070</v>
      </c>
      <c r="F103" s="479">
        <v>13390368</v>
      </c>
      <c r="G103" s="479">
        <v>13530903</v>
      </c>
      <c r="H103" s="480">
        <v>2227565</v>
      </c>
      <c r="I103" s="481">
        <v>2227565</v>
      </c>
      <c r="J103" s="478">
        <v>0</v>
      </c>
      <c r="K103" s="478"/>
      <c r="L103" s="540">
        <f t="shared" si="29"/>
        <v>2227565</v>
      </c>
      <c r="M103" s="541">
        <f t="shared" ref="M103:M108" si="32">IF(L103&lt;&gt;0,+H103-L103,0)</f>
        <v>0</v>
      </c>
      <c r="N103" s="540">
        <f t="shared" si="30"/>
        <v>2227565</v>
      </c>
      <c r="O103" s="478">
        <f t="shared" ref="O103:O108" si="33">IF(N103&lt;&gt;0,+I103-N103,0)</f>
        <v>0</v>
      </c>
      <c r="P103" s="478">
        <f t="shared" ref="P103:P108" si="34">+O103-M103</f>
        <v>0</v>
      </c>
    </row>
    <row r="104" spans="1:16">
      <c r="B104" s="160" t="str">
        <f t="shared" si="31"/>
        <v/>
      </c>
      <c r="C104" s="472">
        <f>IF(D93="","-",+C103+1)</f>
        <v>2013</v>
      </c>
      <c r="D104" s="473">
        <v>13390368</v>
      </c>
      <c r="E104" s="480">
        <v>281070</v>
      </c>
      <c r="F104" s="479">
        <v>13109298</v>
      </c>
      <c r="G104" s="479">
        <v>13249833</v>
      </c>
      <c r="H104" s="480">
        <v>2188246</v>
      </c>
      <c r="I104" s="481">
        <v>2188246</v>
      </c>
      <c r="J104" s="478">
        <v>0</v>
      </c>
      <c r="K104" s="478"/>
      <c r="L104" s="540">
        <f t="shared" si="29"/>
        <v>2188246</v>
      </c>
      <c r="M104" s="541">
        <f t="shared" si="32"/>
        <v>0</v>
      </c>
      <c r="N104" s="540">
        <f t="shared" si="30"/>
        <v>2188246</v>
      </c>
      <c r="O104" s="478">
        <f t="shared" si="33"/>
        <v>0</v>
      </c>
      <c r="P104" s="478">
        <f t="shared" si="34"/>
        <v>0</v>
      </c>
    </row>
    <row r="105" spans="1:16">
      <c r="B105" s="160" t="str">
        <f t="shared" si="31"/>
        <v/>
      </c>
      <c r="C105" s="472">
        <f>IF(D93="","-",+C104+1)</f>
        <v>2014</v>
      </c>
      <c r="D105" s="473">
        <v>13109298</v>
      </c>
      <c r="E105" s="480">
        <v>281070</v>
      </c>
      <c r="F105" s="479">
        <v>12828228</v>
      </c>
      <c r="G105" s="479">
        <v>12968763</v>
      </c>
      <c r="H105" s="480">
        <v>2104425</v>
      </c>
      <c r="I105" s="481">
        <v>2104425</v>
      </c>
      <c r="J105" s="478">
        <v>0</v>
      </c>
      <c r="K105" s="478"/>
      <c r="L105" s="540">
        <f t="shared" si="29"/>
        <v>2104425</v>
      </c>
      <c r="M105" s="541">
        <f t="shared" si="32"/>
        <v>0</v>
      </c>
      <c r="N105" s="540">
        <f t="shared" si="30"/>
        <v>2104425</v>
      </c>
      <c r="O105" s="478">
        <f t="shared" si="33"/>
        <v>0</v>
      </c>
      <c r="P105" s="478">
        <f t="shared" si="34"/>
        <v>0</v>
      </c>
    </row>
    <row r="106" spans="1:16">
      <c r="B106" s="160" t="str">
        <f t="shared" si="31"/>
        <v/>
      </c>
      <c r="C106" s="472">
        <f>IF(D93="","-",+C105+1)</f>
        <v>2015</v>
      </c>
      <c r="D106" s="473">
        <v>12828228</v>
      </c>
      <c r="E106" s="480">
        <v>281070</v>
      </c>
      <c r="F106" s="479">
        <v>12547158</v>
      </c>
      <c r="G106" s="479">
        <v>12687693</v>
      </c>
      <c r="H106" s="480">
        <v>2012204</v>
      </c>
      <c r="I106" s="481">
        <v>2012204</v>
      </c>
      <c r="J106" s="478">
        <f t="shared" si="25"/>
        <v>0</v>
      </c>
      <c r="K106" s="478"/>
      <c r="L106" s="540">
        <f t="shared" ref="L106:L111" si="35">H106</f>
        <v>2012204</v>
      </c>
      <c r="M106" s="541">
        <f t="shared" si="32"/>
        <v>0</v>
      </c>
      <c r="N106" s="540">
        <f t="shared" ref="N106:N111" si="36">I106</f>
        <v>2012204</v>
      </c>
      <c r="O106" s="478">
        <f t="shared" si="33"/>
        <v>0</v>
      </c>
      <c r="P106" s="478">
        <f t="shared" si="34"/>
        <v>0</v>
      </c>
    </row>
    <row r="107" spans="1:16">
      <c r="B107" s="160" t="str">
        <f t="shared" si="31"/>
        <v/>
      </c>
      <c r="C107" s="472">
        <f>IF(D93="","-",+C106+1)</f>
        <v>2016</v>
      </c>
      <c r="D107" s="473">
        <v>12547158</v>
      </c>
      <c r="E107" s="480">
        <v>317731</v>
      </c>
      <c r="F107" s="479">
        <v>12229427</v>
      </c>
      <c r="G107" s="479">
        <v>12388292.5</v>
      </c>
      <c r="H107" s="480">
        <v>1914777</v>
      </c>
      <c r="I107" s="481">
        <v>1914777</v>
      </c>
      <c r="J107" s="478">
        <f t="shared" si="25"/>
        <v>0</v>
      </c>
      <c r="K107" s="478"/>
      <c r="L107" s="540">
        <f t="shared" si="35"/>
        <v>1914777</v>
      </c>
      <c r="M107" s="541">
        <f t="shared" si="32"/>
        <v>0</v>
      </c>
      <c r="N107" s="540">
        <f t="shared" si="36"/>
        <v>1914777</v>
      </c>
      <c r="O107" s="478">
        <f t="shared" si="33"/>
        <v>0</v>
      </c>
      <c r="P107" s="478">
        <f t="shared" si="34"/>
        <v>0</v>
      </c>
    </row>
    <row r="108" spans="1:16">
      <c r="B108" s="160" t="str">
        <f t="shared" si="31"/>
        <v/>
      </c>
      <c r="C108" s="472">
        <f>IF(D93="","-",+C107+1)</f>
        <v>2017</v>
      </c>
      <c r="D108" s="473">
        <v>12229427</v>
      </c>
      <c r="E108" s="480">
        <v>317731</v>
      </c>
      <c r="F108" s="479">
        <v>11911696</v>
      </c>
      <c r="G108" s="479">
        <v>12070561.5</v>
      </c>
      <c r="H108" s="480">
        <v>1848912</v>
      </c>
      <c r="I108" s="481">
        <v>1848912</v>
      </c>
      <c r="J108" s="478">
        <f t="shared" si="25"/>
        <v>0</v>
      </c>
      <c r="K108" s="478"/>
      <c r="L108" s="540">
        <f t="shared" si="35"/>
        <v>1848912</v>
      </c>
      <c r="M108" s="541">
        <f t="shared" si="32"/>
        <v>0</v>
      </c>
      <c r="N108" s="540">
        <f t="shared" si="36"/>
        <v>1848912</v>
      </c>
      <c r="O108" s="478">
        <f t="shared" si="33"/>
        <v>0</v>
      </c>
      <c r="P108" s="478">
        <f t="shared" si="34"/>
        <v>0</v>
      </c>
    </row>
    <row r="109" spans="1:16">
      <c r="B109" s="160" t="str">
        <f t="shared" si="31"/>
        <v/>
      </c>
      <c r="C109" s="472">
        <f>IF(D93="","-",+C108+1)</f>
        <v>2018</v>
      </c>
      <c r="D109" s="473">
        <v>11911696</v>
      </c>
      <c r="E109" s="480">
        <v>339899</v>
      </c>
      <c r="F109" s="479">
        <v>11571797</v>
      </c>
      <c r="G109" s="479">
        <v>11741746.5</v>
      </c>
      <c r="H109" s="480">
        <v>1546194</v>
      </c>
      <c r="I109" s="481">
        <v>1546194</v>
      </c>
      <c r="J109" s="478">
        <f t="shared" si="25"/>
        <v>0</v>
      </c>
      <c r="K109" s="478"/>
      <c r="L109" s="540">
        <f t="shared" si="35"/>
        <v>1546194</v>
      </c>
      <c r="M109" s="541">
        <f t="shared" ref="M109" si="37">IF(L109&lt;&gt;0,+H109-L109,0)</f>
        <v>0</v>
      </c>
      <c r="N109" s="540">
        <f t="shared" si="36"/>
        <v>1546194</v>
      </c>
      <c r="O109" s="478">
        <f t="shared" ref="O109" si="38">IF(N109&lt;&gt;0,+I109-N109,0)</f>
        <v>0</v>
      </c>
      <c r="P109" s="478">
        <f t="shared" ref="P109" si="39">+O109-M109</f>
        <v>0</v>
      </c>
    </row>
    <row r="110" spans="1:16">
      <c r="B110" s="160" t="str">
        <f t="shared" si="31"/>
        <v/>
      </c>
      <c r="C110" s="472">
        <f>IF(D93="","-",+C109+1)</f>
        <v>2019</v>
      </c>
      <c r="D110" s="473">
        <v>11571797</v>
      </c>
      <c r="E110" s="480">
        <v>356479</v>
      </c>
      <c r="F110" s="479">
        <v>11215318</v>
      </c>
      <c r="G110" s="479">
        <v>11393557.5</v>
      </c>
      <c r="H110" s="480">
        <v>1531315</v>
      </c>
      <c r="I110" s="481">
        <v>1531315</v>
      </c>
      <c r="J110" s="478">
        <f t="shared" si="25"/>
        <v>0</v>
      </c>
      <c r="K110" s="478"/>
      <c r="L110" s="540">
        <f t="shared" si="35"/>
        <v>1531315</v>
      </c>
      <c r="M110" s="541">
        <f t="shared" ref="M110" si="40">IF(L110&lt;&gt;0,+H110-L110,0)</f>
        <v>0</v>
      </c>
      <c r="N110" s="540">
        <f t="shared" si="36"/>
        <v>1531315</v>
      </c>
      <c r="O110" s="478">
        <f t="shared" si="27"/>
        <v>0</v>
      </c>
      <c r="P110" s="478">
        <f t="shared" si="28"/>
        <v>0</v>
      </c>
    </row>
    <row r="111" spans="1:16">
      <c r="B111" s="160" t="str">
        <f t="shared" si="31"/>
        <v/>
      </c>
      <c r="C111" s="472">
        <f>IF(D93="","-",+C110+1)</f>
        <v>2020</v>
      </c>
      <c r="D111" s="473">
        <v>11215318</v>
      </c>
      <c r="E111" s="480">
        <v>339899</v>
      </c>
      <c r="F111" s="479">
        <v>10875419</v>
      </c>
      <c r="G111" s="479">
        <v>11045368.5</v>
      </c>
      <c r="H111" s="480">
        <v>1613399.6213131989</v>
      </c>
      <c r="I111" s="481">
        <v>1613399.6213131989</v>
      </c>
      <c r="J111" s="478">
        <f t="shared" si="25"/>
        <v>0</v>
      </c>
      <c r="K111" s="478"/>
      <c r="L111" s="540">
        <f t="shared" si="35"/>
        <v>1613399.6213131989</v>
      </c>
      <c r="M111" s="541">
        <f t="shared" ref="M111" si="41">IF(L111&lt;&gt;0,+H111-L111,0)</f>
        <v>0</v>
      </c>
      <c r="N111" s="540">
        <f t="shared" si="36"/>
        <v>1613399.6213131989</v>
      </c>
      <c r="O111" s="478">
        <f t="shared" si="27"/>
        <v>0</v>
      </c>
      <c r="P111" s="478">
        <f t="shared" si="28"/>
        <v>0</v>
      </c>
    </row>
    <row r="112" spans="1:16">
      <c r="B112" s="160" t="str">
        <f t="shared" si="31"/>
        <v/>
      </c>
      <c r="C112" s="472">
        <f>IF(D93="","-",+C111+1)</f>
        <v>2021</v>
      </c>
      <c r="D112" s="347">
        <f>IF(F111+SUM(E$99:E111)=D$92,F111,D$92-SUM(E$99:E111))</f>
        <v>10875419</v>
      </c>
      <c r="E112" s="486">
        <f>IF(+J96&lt;F111,J96,D112)</f>
        <v>356479</v>
      </c>
      <c r="F112" s="485">
        <f t="shared" ref="F112:F130" si="42">+D112-E112</f>
        <v>10518940</v>
      </c>
      <c r="G112" s="485">
        <f t="shared" si="24"/>
        <v>10697179.5</v>
      </c>
      <c r="H112" s="486">
        <f t="shared" ref="H112:H154" si="43">(D112+F112)/2*J$94+E112</f>
        <v>1573740.9328639174</v>
      </c>
      <c r="I112" s="542">
        <f t="shared" ref="I112:I153" si="44">+J$95*G112+E112</f>
        <v>1573740.9328639174</v>
      </c>
      <c r="J112" s="478">
        <f t="shared" si="25"/>
        <v>0</v>
      </c>
      <c r="K112" s="478"/>
      <c r="L112" s="487"/>
      <c r="M112" s="478">
        <f t="shared" si="26"/>
        <v>0</v>
      </c>
      <c r="N112" s="487"/>
      <c r="O112" s="478">
        <f t="shared" si="27"/>
        <v>0</v>
      </c>
      <c r="P112" s="478">
        <f t="shared" si="28"/>
        <v>0</v>
      </c>
    </row>
    <row r="113" spans="2:16">
      <c r="B113" s="160" t="str">
        <f t="shared" si="31"/>
        <v/>
      </c>
      <c r="C113" s="472">
        <f>IF(D93="","-",+C112+1)</f>
        <v>2022</v>
      </c>
      <c r="D113" s="347">
        <f>IF(F112+SUM(E$99:E112)=D$92,F112,D$92-SUM(E$99:E112))</f>
        <v>10518940</v>
      </c>
      <c r="E113" s="486">
        <f>IF(+J96&lt;F112,J96,D113)</f>
        <v>356479</v>
      </c>
      <c r="F113" s="485">
        <f t="shared" si="42"/>
        <v>10162461</v>
      </c>
      <c r="G113" s="485">
        <f t="shared" si="24"/>
        <v>10340700.5</v>
      </c>
      <c r="H113" s="486">
        <f t="shared" si="43"/>
        <v>1533176.1917968544</v>
      </c>
      <c r="I113" s="542">
        <f t="shared" si="44"/>
        <v>1533176.1917968544</v>
      </c>
      <c r="J113" s="478">
        <f t="shared" si="25"/>
        <v>0</v>
      </c>
      <c r="K113" s="478"/>
      <c r="L113" s="487"/>
      <c r="M113" s="478">
        <f t="shared" si="26"/>
        <v>0</v>
      </c>
      <c r="N113" s="487"/>
      <c r="O113" s="478">
        <f t="shared" si="27"/>
        <v>0</v>
      </c>
      <c r="P113" s="478">
        <f t="shared" si="28"/>
        <v>0</v>
      </c>
    </row>
    <row r="114" spans="2:16">
      <c r="B114" s="160" t="str">
        <f t="shared" si="31"/>
        <v/>
      </c>
      <c r="C114" s="472">
        <f>IF(D93="","-",+C113+1)</f>
        <v>2023</v>
      </c>
      <c r="D114" s="347">
        <f>IF(F113+SUM(E$99:E113)=D$92,F113,D$92-SUM(E$99:E113))</f>
        <v>10162461</v>
      </c>
      <c r="E114" s="486">
        <f>IF(+J96&lt;F113,J96,D114)</f>
        <v>356479</v>
      </c>
      <c r="F114" s="485">
        <f t="shared" si="42"/>
        <v>9805982</v>
      </c>
      <c r="G114" s="485">
        <f t="shared" si="24"/>
        <v>9984221.5</v>
      </c>
      <c r="H114" s="486">
        <f t="shared" si="43"/>
        <v>1492611.4507297911</v>
      </c>
      <c r="I114" s="542">
        <f t="shared" si="44"/>
        <v>1492611.4507297911</v>
      </c>
      <c r="J114" s="478">
        <f t="shared" si="25"/>
        <v>0</v>
      </c>
      <c r="K114" s="478"/>
      <c r="L114" s="487"/>
      <c r="M114" s="478">
        <f t="shared" si="26"/>
        <v>0</v>
      </c>
      <c r="N114" s="487"/>
      <c r="O114" s="478">
        <f t="shared" si="27"/>
        <v>0</v>
      </c>
      <c r="P114" s="478">
        <f t="shared" si="28"/>
        <v>0</v>
      </c>
    </row>
    <row r="115" spans="2:16">
      <c r="B115" s="160" t="str">
        <f t="shared" si="31"/>
        <v/>
      </c>
      <c r="C115" s="472">
        <f>IF(D93="","-",+C114+1)</f>
        <v>2024</v>
      </c>
      <c r="D115" s="347">
        <f>IF(F114+SUM(E$99:E114)=D$92,F114,D$92-SUM(E$99:E114))</f>
        <v>9805982</v>
      </c>
      <c r="E115" s="486">
        <f>IF(+J96&lt;F114,J96,D115)</f>
        <v>356479</v>
      </c>
      <c r="F115" s="485">
        <f t="shared" si="42"/>
        <v>9449503</v>
      </c>
      <c r="G115" s="485">
        <f t="shared" si="24"/>
        <v>9627742.5</v>
      </c>
      <c r="H115" s="486">
        <f t="shared" si="43"/>
        <v>1452046.709662728</v>
      </c>
      <c r="I115" s="542">
        <f t="shared" si="44"/>
        <v>1452046.709662728</v>
      </c>
      <c r="J115" s="478">
        <f t="shared" si="25"/>
        <v>0</v>
      </c>
      <c r="K115" s="478"/>
      <c r="L115" s="487"/>
      <c r="M115" s="478">
        <f t="shared" si="26"/>
        <v>0</v>
      </c>
      <c r="N115" s="487"/>
      <c r="O115" s="478">
        <f t="shared" si="27"/>
        <v>0</v>
      </c>
      <c r="P115" s="478">
        <f t="shared" si="28"/>
        <v>0</v>
      </c>
    </row>
    <row r="116" spans="2:16">
      <c r="B116" s="160" t="str">
        <f t="shared" si="31"/>
        <v/>
      </c>
      <c r="C116" s="472">
        <f>IF(D93="","-",+C115+1)</f>
        <v>2025</v>
      </c>
      <c r="D116" s="347">
        <f>IF(F115+SUM(E$99:E115)=D$92,F115,D$92-SUM(E$99:E115))</f>
        <v>9449503</v>
      </c>
      <c r="E116" s="486">
        <f>IF(+J96&lt;F115,J96,D116)</f>
        <v>356479</v>
      </c>
      <c r="F116" s="485">
        <f t="shared" si="42"/>
        <v>9093024</v>
      </c>
      <c r="G116" s="485">
        <f t="shared" si="24"/>
        <v>9271263.5</v>
      </c>
      <c r="H116" s="486">
        <f t="shared" si="43"/>
        <v>1411481.9685956647</v>
      </c>
      <c r="I116" s="542">
        <f t="shared" si="44"/>
        <v>1411481.9685956647</v>
      </c>
      <c r="J116" s="478">
        <f t="shared" si="25"/>
        <v>0</v>
      </c>
      <c r="K116" s="478"/>
      <c r="L116" s="487"/>
      <c r="M116" s="478">
        <f t="shared" si="26"/>
        <v>0</v>
      </c>
      <c r="N116" s="487"/>
      <c r="O116" s="478">
        <f t="shared" si="27"/>
        <v>0</v>
      </c>
      <c r="P116" s="478">
        <f t="shared" si="28"/>
        <v>0</v>
      </c>
    </row>
    <row r="117" spans="2:16">
      <c r="B117" s="160" t="str">
        <f t="shared" si="31"/>
        <v/>
      </c>
      <c r="C117" s="472">
        <f>IF(D93="","-",+C116+1)</f>
        <v>2026</v>
      </c>
      <c r="D117" s="347">
        <f>IF(F116+SUM(E$99:E116)=D$92,F116,D$92-SUM(E$99:E116))</f>
        <v>9093024</v>
      </c>
      <c r="E117" s="486">
        <f>IF(+J96&lt;F116,J96,D117)</f>
        <v>356479</v>
      </c>
      <c r="F117" s="485">
        <f t="shared" si="42"/>
        <v>8736545</v>
      </c>
      <c r="G117" s="485">
        <f t="shared" si="24"/>
        <v>8914784.5</v>
      </c>
      <c r="H117" s="486">
        <f t="shared" si="43"/>
        <v>1370917.2275286014</v>
      </c>
      <c r="I117" s="542">
        <f t="shared" si="44"/>
        <v>1370917.2275286014</v>
      </c>
      <c r="J117" s="478">
        <f t="shared" si="25"/>
        <v>0</v>
      </c>
      <c r="K117" s="478"/>
      <c r="L117" s="487"/>
      <c r="M117" s="478">
        <f t="shared" si="26"/>
        <v>0</v>
      </c>
      <c r="N117" s="487"/>
      <c r="O117" s="478">
        <f t="shared" si="27"/>
        <v>0</v>
      </c>
      <c r="P117" s="478">
        <f t="shared" si="28"/>
        <v>0</v>
      </c>
    </row>
    <row r="118" spans="2:16">
      <c r="B118" s="160" t="str">
        <f t="shared" si="31"/>
        <v/>
      </c>
      <c r="C118" s="472">
        <f>IF(D93="","-",+C117+1)</f>
        <v>2027</v>
      </c>
      <c r="D118" s="347">
        <f>IF(F117+SUM(E$99:E117)=D$92,F117,D$92-SUM(E$99:E117))</f>
        <v>8736545</v>
      </c>
      <c r="E118" s="486">
        <f>IF(+J96&lt;F117,J96,D118)</f>
        <v>356479</v>
      </c>
      <c r="F118" s="485">
        <f t="shared" si="42"/>
        <v>8380066</v>
      </c>
      <c r="G118" s="485">
        <f t="shared" si="24"/>
        <v>8558305.5</v>
      </c>
      <c r="H118" s="486">
        <f t="shared" si="43"/>
        <v>1330352.4864615384</v>
      </c>
      <c r="I118" s="542">
        <f t="shared" si="44"/>
        <v>1330352.4864615384</v>
      </c>
      <c r="J118" s="478">
        <f t="shared" si="25"/>
        <v>0</v>
      </c>
      <c r="K118" s="478"/>
      <c r="L118" s="487"/>
      <c r="M118" s="478">
        <f t="shared" si="26"/>
        <v>0</v>
      </c>
      <c r="N118" s="487"/>
      <c r="O118" s="478">
        <f t="shared" si="27"/>
        <v>0</v>
      </c>
      <c r="P118" s="478">
        <f t="shared" si="28"/>
        <v>0</v>
      </c>
    </row>
    <row r="119" spans="2:16">
      <c r="B119" s="160" t="str">
        <f t="shared" si="31"/>
        <v/>
      </c>
      <c r="C119" s="472">
        <f>IF(D93="","-",+C118+1)</f>
        <v>2028</v>
      </c>
      <c r="D119" s="347">
        <f>IF(F118+SUM(E$99:E118)=D$92,F118,D$92-SUM(E$99:E118))</f>
        <v>8380066</v>
      </c>
      <c r="E119" s="486">
        <f>IF(+J96&lt;F118,J96,D119)</f>
        <v>356479</v>
      </c>
      <c r="F119" s="485">
        <f t="shared" si="42"/>
        <v>8023587</v>
      </c>
      <c r="G119" s="485">
        <f t="shared" si="24"/>
        <v>8201826.5</v>
      </c>
      <c r="H119" s="486">
        <f t="shared" si="43"/>
        <v>1289787.7453944753</v>
      </c>
      <c r="I119" s="542">
        <f t="shared" si="44"/>
        <v>1289787.7453944753</v>
      </c>
      <c r="J119" s="478">
        <f t="shared" si="25"/>
        <v>0</v>
      </c>
      <c r="K119" s="478"/>
      <c r="L119" s="487"/>
      <c r="M119" s="478">
        <f t="shared" si="26"/>
        <v>0</v>
      </c>
      <c r="N119" s="487"/>
      <c r="O119" s="478">
        <f t="shared" si="27"/>
        <v>0</v>
      </c>
      <c r="P119" s="478">
        <f t="shared" si="28"/>
        <v>0</v>
      </c>
    </row>
    <row r="120" spans="2:16">
      <c r="B120" s="160" t="str">
        <f t="shared" si="31"/>
        <v/>
      </c>
      <c r="C120" s="472">
        <f>IF(D93="","-",+C119+1)</f>
        <v>2029</v>
      </c>
      <c r="D120" s="347">
        <f>IF(F119+SUM(E$99:E119)=D$92,F119,D$92-SUM(E$99:E119))</f>
        <v>8023587</v>
      </c>
      <c r="E120" s="486">
        <f>IF(+J96&lt;F119,J96,D120)</f>
        <v>356479</v>
      </c>
      <c r="F120" s="485">
        <f t="shared" si="42"/>
        <v>7667108</v>
      </c>
      <c r="G120" s="485">
        <f t="shared" si="24"/>
        <v>7845347.5</v>
      </c>
      <c r="H120" s="486">
        <f t="shared" si="43"/>
        <v>1249223.004327412</v>
      </c>
      <c r="I120" s="542">
        <f t="shared" si="44"/>
        <v>1249223.004327412</v>
      </c>
      <c r="J120" s="478">
        <f t="shared" si="25"/>
        <v>0</v>
      </c>
      <c r="K120" s="478"/>
      <c r="L120" s="487"/>
      <c r="M120" s="478">
        <f t="shared" si="26"/>
        <v>0</v>
      </c>
      <c r="N120" s="487"/>
      <c r="O120" s="478">
        <f t="shared" si="27"/>
        <v>0</v>
      </c>
      <c r="P120" s="478">
        <f t="shared" si="28"/>
        <v>0</v>
      </c>
    </row>
    <row r="121" spans="2:16">
      <c r="B121" s="160" t="str">
        <f t="shared" si="31"/>
        <v/>
      </c>
      <c r="C121" s="472">
        <f>IF(D93="","-",+C120+1)</f>
        <v>2030</v>
      </c>
      <c r="D121" s="347">
        <f>IF(F120+SUM(E$99:E120)=D$92,F120,D$92-SUM(E$99:E120))</f>
        <v>7667108</v>
      </c>
      <c r="E121" s="486">
        <f>IF(+J96&lt;F120,J96,D121)</f>
        <v>356479</v>
      </c>
      <c r="F121" s="485">
        <f t="shared" si="42"/>
        <v>7310629</v>
      </c>
      <c r="G121" s="485">
        <f t="shared" si="24"/>
        <v>7488868.5</v>
      </c>
      <c r="H121" s="486">
        <f t="shared" si="43"/>
        <v>1208658.2632603487</v>
      </c>
      <c r="I121" s="542">
        <f t="shared" si="44"/>
        <v>1208658.2632603487</v>
      </c>
      <c r="J121" s="478">
        <f t="shared" si="25"/>
        <v>0</v>
      </c>
      <c r="K121" s="478"/>
      <c r="L121" s="487"/>
      <c r="M121" s="478">
        <f t="shared" si="26"/>
        <v>0</v>
      </c>
      <c r="N121" s="487"/>
      <c r="O121" s="478">
        <f t="shared" si="27"/>
        <v>0</v>
      </c>
      <c r="P121" s="478">
        <f t="shared" si="28"/>
        <v>0</v>
      </c>
    </row>
    <row r="122" spans="2:16">
      <c r="B122" s="160" t="str">
        <f t="shared" si="31"/>
        <v/>
      </c>
      <c r="C122" s="472">
        <f>IF(D93="","-",+C121+1)</f>
        <v>2031</v>
      </c>
      <c r="D122" s="347">
        <f>IF(F121+SUM(E$99:E121)=D$92,F121,D$92-SUM(E$99:E121))</f>
        <v>7310629</v>
      </c>
      <c r="E122" s="486">
        <f>IF(+J96&lt;F121,J96,D122)</f>
        <v>356479</v>
      </c>
      <c r="F122" s="485">
        <f t="shared" si="42"/>
        <v>6954150</v>
      </c>
      <c r="G122" s="485">
        <f t="shared" si="24"/>
        <v>7132389.5</v>
      </c>
      <c r="H122" s="486">
        <f t="shared" si="43"/>
        <v>1168093.5221932856</v>
      </c>
      <c r="I122" s="542">
        <f t="shared" si="44"/>
        <v>1168093.5221932856</v>
      </c>
      <c r="J122" s="478">
        <f t="shared" si="25"/>
        <v>0</v>
      </c>
      <c r="K122" s="478"/>
      <c r="L122" s="487"/>
      <c r="M122" s="478">
        <f t="shared" si="26"/>
        <v>0</v>
      </c>
      <c r="N122" s="487"/>
      <c r="O122" s="478">
        <f t="shared" si="27"/>
        <v>0</v>
      </c>
      <c r="P122" s="478">
        <f t="shared" si="28"/>
        <v>0</v>
      </c>
    </row>
    <row r="123" spans="2:16">
      <c r="B123" s="160" t="str">
        <f t="shared" si="31"/>
        <v/>
      </c>
      <c r="C123" s="472">
        <f>IF(D93="","-",+C122+1)</f>
        <v>2032</v>
      </c>
      <c r="D123" s="347">
        <f>IF(F122+SUM(E$99:E122)=D$92,F122,D$92-SUM(E$99:E122))</f>
        <v>6954150</v>
      </c>
      <c r="E123" s="486">
        <f>IF(+J96&lt;F122,J96,D123)</f>
        <v>356479</v>
      </c>
      <c r="F123" s="485">
        <f t="shared" si="42"/>
        <v>6597671</v>
      </c>
      <c r="G123" s="485">
        <f t="shared" si="24"/>
        <v>6775910.5</v>
      </c>
      <c r="H123" s="486">
        <f t="shared" si="43"/>
        <v>1127528.7811262226</v>
      </c>
      <c r="I123" s="542">
        <f t="shared" si="44"/>
        <v>1127528.7811262226</v>
      </c>
      <c r="J123" s="478">
        <f t="shared" si="25"/>
        <v>0</v>
      </c>
      <c r="K123" s="478"/>
      <c r="L123" s="487"/>
      <c r="M123" s="478">
        <f t="shared" si="26"/>
        <v>0</v>
      </c>
      <c r="N123" s="487"/>
      <c r="O123" s="478">
        <f t="shared" si="27"/>
        <v>0</v>
      </c>
      <c r="P123" s="478">
        <f t="shared" si="28"/>
        <v>0</v>
      </c>
    </row>
    <row r="124" spans="2:16">
      <c r="B124" s="160" t="str">
        <f t="shared" si="31"/>
        <v/>
      </c>
      <c r="C124" s="472">
        <f>IF(D93="","-",+C123+1)</f>
        <v>2033</v>
      </c>
      <c r="D124" s="347">
        <f>IF(F123+SUM(E$99:E123)=D$92,F123,D$92-SUM(E$99:E123))</f>
        <v>6597671</v>
      </c>
      <c r="E124" s="486">
        <f>IF(+J96&lt;F123,J96,D124)</f>
        <v>356479</v>
      </c>
      <c r="F124" s="485">
        <f t="shared" si="42"/>
        <v>6241192</v>
      </c>
      <c r="G124" s="485">
        <f t="shared" si="24"/>
        <v>6419431.5</v>
      </c>
      <c r="H124" s="486">
        <f t="shared" si="43"/>
        <v>1086964.0400591593</v>
      </c>
      <c r="I124" s="542">
        <f t="shared" si="44"/>
        <v>1086964.0400591593</v>
      </c>
      <c r="J124" s="478">
        <f t="shared" si="25"/>
        <v>0</v>
      </c>
      <c r="K124" s="478"/>
      <c r="L124" s="487"/>
      <c r="M124" s="478">
        <f t="shared" si="26"/>
        <v>0</v>
      </c>
      <c r="N124" s="487"/>
      <c r="O124" s="478">
        <f t="shared" si="27"/>
        <v>0</v>
      </c>
      <c r="P124" s="478">
        <f t="shared" si="28"/>
        <v>0</v>
      </c>
    </row>
    <row r="125" spans="2:16">
      <c r="B125" s="160" t="str">
        <f t="shared" si="31"/>
        <v/>
      </c>
      <c r="C125" s="472">
        <f>IF(D93="","-",+C124+1)</f>
        <v>2034</v>
      </c>
      <c r="D125" s="347">
        <f>IF(F124+SUM(E$99:E124)=D$92,F124,D$92-SUM(E$99:E124))</f>
        <v>6241192</v>
      </c>
      <c r="E125" s="486">
        <f>IF(+J96&lt;F124,J96,D125)</f>
        <v>356479</v>
      </c>
      <c r="F125" s="485">
        <f t="shared" si="42"/>
        <v>5884713</v>
      </c>
      <c r="G125" s="485">
        <f t="shared" si="24"/>
        <v>6062952.5</v>
      </c>
      <c r="H125" s="486">
        <f t="shared" si="43"/>
        <v>1046399.2989920961</v>
      </c>
      <c r="I125" s="542">
        <f t="shared" si="44"/>
        <v>1046399.2989920961</v>
      </c>
      <c r="J125" s="478">
        <f t="shared" si="25"/>
        <v>0</v>
      </c>
      <c r="K125" s="478"/>
      <c r="L125" s="487"/>
      <c r="M125" s="478">
        <f t="shared" si="26"/>
        <v>0</v>
      </c>
      <c r="N125" s="487"/>
      <c r="O125" s="478">
        <f t="shared" si="27"/>
        <v>0</v>
      </c>
      <c r="P125" s="478">
        <f t="shared" si="28"/>
        <v>0</v>
      </c>
    </row>
    <row r="126" spans="2:16">
      <c r="B126" s="160" t="str">
        <f t="shared" si="31"/>
        <v/>
      </c>
      <c r="C126" s="472">
        <f>IF(D93="","-",+C125+1)</f>
        <v>2035</v>
      </c>
      <c r="D126" s="347">
        <f>IF(F125+SUM(E$99:E125)=D$92,F125,D$92-SUM(E$99:E125))</f>
        <v>5884713</v>
      </c>
      <c r="E126" s="486">
        <f>IF(+J96&lt;F125,J96,D126)</f>
        <v>356479</v>
      </c>
      <c r="F126" s="485">
        <f t="shared" si="42"/>
        <v>5528234</v>
      </c>
      <c r="G126" s="485">
        <f t="shared" si="24"/>
        <v>5706473.5</v>
      </c>
      <c r="H126" s="486">
        <f t="shared" si="43"/>
        <v>1005834.5579250329</v>
      </c>
      <c r="I126" s="542">
        <f t="shared" si="44"/>
        <v>1005834.5579250329</v>
      </c>
      <c r="J126" s="478">
        <f t="shared" si="25"/>
        <v>0</v>
      </c>
      <c r="K126" s="478"/>
      <c r="L126" s="487"/>
      <c r="M126" s="478">
        <f t="shared" si="26"/>
        <v>0</v>
      </c>
      <c r="N126" s="487"/>
      <c r="O126" s="478">
        <f t="shared" si="27"/>
        <v>0</v>
      </c>
      <c r="P126" s="478">
        <f t="shared" si="28"/>
        <v>0</v>
      </c>
    </row>
    <row r="127" spans="2:16">
      <c r="B127" s="160" t="str">
        <f t="shared" si="31"/>
        <v/>
      </c>
      <c r="C127" s="472">
        <f>IF(D93="","-",+C126+1)</f>
        <v>2036</v>
      </c>
      <c r="D127" s="347">
        <f>IF(F126+SUM(E$99:E126)=D$92,F126,D$92-SUM(E$99:E126))</f>
        <v>5528234</v>
      </c>
      <c r="E127" s="486">
        <f>IF(+J96&lt;F126,J96,D127)</f>
        <v>356479</v>
      </c>
      <c r="F127" s="485">
        <f t="shared" si="42"/>
        <v>5171755</v>
      </c>
      <c r="G127" s="485">
        <f t="shared" si="24"/>
        <v>5349994.5</v>
      </c>
      <c r="H127" s="486">
        <f t="shared" si="43"/>
        <v>965269.81685796974</v>
      </c>
      <c r="I127" s="542">
        <f t="shared" si="44"/>
        <v>965269.81685796974</v>
      </c>
      <c r="J127" s="478">
        <f t="shared" si="25"/>
        <v>0</v>
      </c>
      <c r="K127" s="478"/>
      <c r="L127" s="487"/>
      <c r="M127" s="478">
        <f t="shared" si="26"/>
        <v>0</v>
      </c>
      <c r="N127" s="487"/>
      <c r="O127" s="478">
        <f t="shared" si="27"/>
        <v>0</v>
      </c>
      <c r="P127" s="478">
        <f t="shared" si="28"/>
        <v>0</v>
      </c>
    </row>
    <row r="128" spans="2:16">
      <c r="B128" s="160" t="str">
        <f t="shared" si="31"/>
        <v/>
      </c>
      <c r="C128" s="472">
        <f>IF(D93="","-",+C127+1)</f>
        <v>2037</v>
      </c>
      <c r="D128" s="347">
        <f>IF(F127+SUM(E$99:E127)=D$92,F127,D$92-SUM(E$99:E127))</f>
        <v>5171755</v>
      </c>
      <c r="E128" s="486">
        <f>IF(+J96&lt;F127,J96,D128)</f>
        <v>356479</v>
      </c>
      <c r="F128" s="485">
        <f t="shared" si="42"/>
        <v>4815276</v>
      </c>
      <c r="G128" s="485">
        <f t="shared" si="24"/>
        <v>4993515.5</v>
      </c>
      <c r="H128" s="486">
        <f t="shared" si="43"/>
        <v>924705.07579090656</v>
      </c>
      <c r="I128" s="542">
        <f t="shared" si="44"/>
        <v>924705.07579090656</v>
      </c>
      <c r="J128" s="478">
        <f t="shared" si="25"/>
        <v>0</v>
      </c>
      <c r="K128" s="478"/>
      <c r="L128" s="487"/>
      <c r="M128" s="478">
        <f t="shared" si="26"/>
        <v>0</v>
      </c>
      <c r="N128" s="487"/>
      <c r="O128" s="478">
        <f t="shared" si="27"/>
        <v>0</v>
      </c>
      <c r="P128" s="478">
        <f t="shared" si="28"/>
        <v>0</v>
      </c>
    </row>
    <row r="129" spans="2:16">
      <c r="B129" s="160" t="str">
        <f t="shared" si="31"/>
        <v/>
      </c>
      <c r="C129" s="472">
        <f>IF(D93="","-",+C128+1)</f>
        <v>2038</v>
      </c>
      <c r="D129" s="347">
        <f>IF(F128+SUM(E$99:E128)=D$92,F128,D$92-SUM(E$99:E128))</f>
        <v>4815276</v>
      </c>
      <c r="E129" s="486">
        <f>IF(+J96&lt;F128,J96,D129)</f>
        <v>356479</v>
      </c>
      <c r="F129" s="485">
        <f t="shared" si="42"/>
        <v>4458797</v>
      </c>
      <c r="G129" s="485">
        <f t="shared" si="24"/>
        <v>4637036.5</v>
      </c>
      <c r="H129" s="486">
        <f t="shared" si="43"/>
        <v>884140.33472384338</v>
      </c>
      <c r="I129" s="542">
        <f t="shared" si="44"/>
        <v>884140.33472384338</v>
      </c>
      <c r="J129" s="478">
        <f t="shared" si="25"/>
        <v>0</v>
      </c>
      <c r="K129" s="478"/>
      <c r="L129" s="487"/>
      <c r="M129" s="478">
        <f t="shared" si="26"/>
        <v>0</v>
      </c>
      <c r="N129" s="487"/>
      <c r="O129" s="478">
        <f t="shared" si="27"/>
        <v>0</v>
      </c>
      <c r="P129" s="478">
        <f t="shared" si="28"/>
        <v>0</v>
      </c>
    </row>
    <row r="130" spans="2:16">
      <c r="B130" s="160" t="str">
        <f t="shared" si="31"/>
        <v/>
      </c>
      <c r="C130" s="472">
        <f>IF(D93="","-",+C129+1)</f>
        <v>2039</v>
      </c>
      <c r="D130" s="347">
        <f>IF(F129+SUM(E$99:E129)=D$92,F129,D$92-SUM(E$99:E129))</f>
        <v>4458797</v>
      </c>
      <c r="E130" s="486">
        <f>IF(+J96&lt;F129,J96,D130)</f>
        <v>356479</v>
      </c>
      <c r="F130" s="485">
        <f t="shared" si="42"/>
        <v>4102318</v>
      </c>
      <c r="G130" s="485">
        <f t="shared" si="24"/>
        <v>4280557.5</v>
      </c>
      <c r="H130" s="486">
        <f t="shared" si="43"/>
        <v>843575.5936567802</v>
      </c>
      <c r="I130" s="542">
        <f t="shared" si="44"/>
        <v>843575.5936567802</v>
      </c>
      <c r="J130" s="478">
        <f t="shared" si="25"/>
        <v>0</v>
      </c>
      <c r="K130" s="478"/>
      <c r="L130" s="487"/>
      <c r="M130" s="478">
        <f t="shared" si="26"/>
        <v>0</v>
      </c>
      <c r="N130" s="487"/>
      <c r="O130" s="478">
        <f t="shared" si="27"/>
        <v>0</v>
      </c>
      <c r="P130" s="478">
        <f t="shared" si="28"/>
        <v>0</v>
      </c>
    </row>
    <row r="131" spans="2:16">
      <c r="B131" s="160" t="str">
        <f t="shared" si="31"/>
        <v/>
      </c>
      <c r="C131" s="472">
        <f>IF(D93="","-",+C130+1)</f>
        <v>2040</v>
      </c>
      <c r="D131" s="347">
        <f>IF(F130+SUM(E$99:E130)=D$92,F130,D$92-SUM(E$99:E130))</f>
        <v>4102318</v>
      </c>
      <c r="E131" s="486">
        <f>IF(+J96&lt;F130,J96,D131)</f>
        <v>356479</v>
      </c>
      <c r="F131" s="485">
        <f t="shared" ref="F131:F154" si="45">+D131-E131</f>
        <v>3745839</v>
      </c>
      <c r="G131" s="485">
        <f t="shared" ref="G131:G154" si="46">+(F131+D131)/2</f>
        <v>3924078.5</v>
      </c>
      <c r="H131" s="486">
        <f t="shared" si="43"/>
        <v>803010.8525897169</v>
      </c>
      <c r="I131" s="542">
        <f t="shared" si="44"/>
        <v>803010.8525897169</v>
      </c>
      <c r="J131" s="478">
        <f t="shared" si="25"/>
        <v>0</v>
      </c>
      <c r="K131" s="478"/>
      <c r="L131" s="487"/>
      <c r="M131" s="478">
        <f t="shared" ref="M131:M154" si="47">IF(L131&lt;&gt;0,+H131-L131,0)</f>
        <v>0</v>
      </c>
      <c r="N131" s="487"/>
      <c r="O131" s="478">
        <f t="shared" ref="O131:O154" si="48">IF(N131&lt;&gt;0,+I131-N131,0)</f>
        <v>0</v>
      </c>
      <c r="P131" s="478">
        <f t="shared" ref="P131:P154" si="49">+O131-M131</f>
        <v>0</v>
      </c>
    </row>
    <row r="132" spans="2:16">
      <c r="B132" s="160" t="str">
        <f t="shared" si="31"/>
        <v/>
      </c>
      <c r="C132" s="472">
        <f>IF(D93="","-",+C131+1)</f>
        <v>2041</v>
      </c>
      <c r="D132" s="347">
        <f>IF(F131+SUM(E$99:E131)=D$92,F131,D$92-SUM(E$99:E131))</f>
        <v>3745839</v>
      </c>
      <c r="E132" s="486">
        <f>IF(+J96&lt;F131,J96,D132)</f>
        <v>356479</v>
      </c>
      <c r="F132" s="485">
        <f t="shared" si="45"/>
        <v>3389360</v>
      </c>
      <c r="G132" s="485">
        <f t="shared" si="46"/>
        <v>3567599.5</v>
      </c>
      <c r="H132" s="486">
        <f t="shared" si="43"/>
        <v>762446.11152265384</v>
      </c>
      <c r="I132" s="542">
        <f t="shared" si="44"/>
        <v>762446.11152265384</v>
      </c>
      <c r="J132" s="478">
        <f t="shared" ref="J132:J154" si="50">+I132-H132</f>
        <v>0</v>
      </c>
      <c r="K132" s="478"/>
      <c r="L132" s="487"/>
      <c r="M132" s="478">
        <f t="shared" si="47"/>
        <v>0</v>
      </c>
      <c r="N132" s="487"/>
      <c r="O132" s="478">
        <f t="shared" si="48"/>
        <v>0</v>
      </c>
      <c r="P132" s="478">
        <f t="shared" si="49"/>
        <v>0</v>
      </c>
    </row>
    <row r="133" spans="2:16">
      <c r="B133" s="160" t="str">
        <f t="shared" si="31"/>
        <v/>
      </c>
      <c r="C133" s="472">
        <f>IF(D93="","-",+C132+1)</f>
        <v>2042</v>
      </c>
      <c r="D133" s="347">
        <f>IF(F132+SUM(E$99:E132)=D$92,F132,D$92-SUM(E$99:E132))</f>
        <v>3389360</v>
      </c>
      <c r="E133" s="486">
        <f>IF(+J96&lt;F132,J96,D133)</f>
        <v>356479</v>
      </c>
      <c r="F133" s="485">
        <f t="shared" si="45"/>
        <v>3032881</v>
      </c>
      <c r="G133" s="485">
        <f t="shared" si="46"/>
        <v>3211120.5</v>
      </c>
      <c r="H133" s="486">
        <f t="shared" si="43"/>
        <v>721881.37045559054</v>
      </c>
      <c r="I133" s="542">
        <f t="shared" si="44"/>
        <v>721881.37045559054</v>
      </c>
      <c r="J133" s="478">
        <f t="shared" si="50"/>
        <v>0</v>
      </c>
      <c r="K133" s="478"/>
      <c r="L133" s="487"/>
      <c r="M133" s="478">
        <f t="shared" si="47"/>
        <v>0</v>
      </c>
      <c r="N133" s="487"/>
      <c r="O133" s="478">
        <f t="shared" si="48"/>
        <v>0</v>
      </c>
      <c r="P133" s="478">
        <f t="shared" si="49"/>
        <v>0</v>
      </c>
    </row>
    <row r="134" spans="2:16">
      <c r="B134" s="160" t="str">
        <f t="shared" si="31"/>
        <v/>
      </c>
      <c r="C134" s="472">
        <f>IF(D93="","-",+C133+1)</f>
        <v>2043</v>
      </c>
      <c r="D134" s="347">
        <f>IF(F133+SUM(E$99:E133)=D$92,F133,D$92-SUM(E$99:E133))</f>
        <v>3032881</v>
      </c>
      <c r="E134" s="486">
        <f>IF(+J96&lt;F133,J96,D134)</f>
        <v>356479</v>
      </c>
      <c r="F134" s="485">
        <f t="shared" si="45"/>
        <v>2676402</v>
      </c>
      <c r="G134" s="485">
        <f t="shared" si="46"/>
        <v>2854641.5</v>
      </c>
      <c r="H134" s="486">
        <f t="shared" si="43"/>
        <v>681316.62938852736</v>
      </c>
      <c r="I134" s="542">
        <f t="shared" si="44"/>
        <v>681316.62938852736</v>
      </c>
      <c r="J134" s="478">
        <f t="shared" si="50"/>
        <v>0</v>
      </c>
      <c r="K134" s="478"/>
      <c r="L134" s="487"/>
      <c r="M134" s="478">
        <f t="shared" si="47"/>
        <v>0</v>
      </c>
      <c r="N134" s="487"/>
      <c r="O134" s="478">
        <f t="shared" si="48"/>
        <v>0</v>
      </c>
      <c r="P134" s="478">
        <f t="shared" si="49"/>
        <v>0</v>
      </c>
    </row>
    <row r="135" spans="2:16">
      <c r="B135" s="160" t="str">
        <f t="shared" si="31"/>
        <v/>
      </c>
      <c r="C135" s="472">
        <f>IF(D93="","-",+C134+1)</f>
        <v>2044</v>
      </c>
      <c r="D135" s="347">
        <f>IF(F134+SUM(E$99:E134)=D$92,F134,D$92-SUM(E$99:E134))</f>
        <v>2676402</v>
      </c>
      <c r="E135" s="486">
        <f>IF(+J96&lt;F134,J96,D135)</f>
        <v>356479</v>
      </c>
      <c r="F135" s="485">
        <f t="shared" si="45"/>
        <v>2319923</v>
      </c>
      <c r="G135" s="485">
        <f t="shared" si="46"/>
        <v>2498162.5</v>
      </c>
      <c r="H135" s="486">
        <f t="shared" si="43"/>
        <v>640751.88832146418</v>
      </c>
      <c r="I135" s="542">
        <f t="shared" si="44"/>
        <v>640751.88832146418</v>
      </c>
      <c r="J135" s="478">
        <f t="shared" si="50"/>
        <v>0</v>
      </c>
      <c r="K135" s="478"/>
      <c r="L135" s="487"/>
      <c r="M135" s="478">
        <f t="shared" si="47"/>
        <v>0</v>
      </c>
      <c r="N135" s="487"/>
      <c r="O135" s="478">
        <f t="shared" si="48"/>
        <v>0</v>
      </c>
      <c r="P135" s="478">
        <f t="shared" si="49"/>
        <v>0</v>
      </c>
    </row>
    <row r="136" spans="2:16">
      <c r="B136" s="160" t="str">
        <f t="shared" si="31"/>
        <v/>
      </c>
      <c r="C136" s="472">
        <f>IF(D93="","-",+C135+1)</f>
        <v>2045</v>
      </c>
      <c r="D136" s="347">
        <f>IF(F135+SUM(E$99:E135)=D$92,F135,D$92-SUM(E$99:E135))</f>
        <v>2319923</v>
      </c>
      <c r="E136" s="486">
        <f>IF(+J96&lt;F135,J96,D136)</f>
        <v>356479</v>
      </c>
      <c r="F136" s="485">
        <f t="shared" si="45"/>
        <v>1963444</v>
      </c>
      <c r="G136" s="485">
        <f t="shared" si="46"/>
        <v>2141683.5</v>
      </c>
      <c r="H136" s="486">
        <f t="shared" si="43"/>
        <v>600187.147254401</v>
      </c>
      <c r="I136" s="542">
        <f t="shared" si="44"/>
        <v>600187.147254401</v>
      </c>
      <c r="J136" s="478">
        <f t="shared" si="50"/>
        <v>0</v>
      </c>
      <c r="K136" s="478"/>
      <c r="L136" s="487"/>
      <c r="M136" s="478">
        <f t="shared" si="47"/>
        <v>0</v>
      </c>
      <c r="N136" s="487"/>
      <c r="O136" s="478">
        <f t="shared" si="48"/>
        <v>0</v>
      </c>
      <c r="P136" s="478">
        <f t="shared" si="49"/>
        <v>0</v>
      </c>
    </row>
    <row r="137" spans="2:16">
      <c r="B137" s="160" t="str">
        <f t="shared" si="31"/>
        <v/>
      </c>
      <c r="C137" s="472">
        <f>IF(D93="","-",+C136+1)</f>
        <v>2046</v>
      </c>
      <c r="D137" s="347">
        <f>IF(F136+SUM(E$99:E136)=D$92,F136,D$92-SUM(E$99:E136))</f>
        <v>1963444</v>
      </c>
      <c r="E137" s="486">
        <f>IF(+J96&lt;F136,J96,D137)</f>
        <v>356479</v>
      </c>
      <c r="F137" s="485">
        <f t="shared" si="45"/>
        <v>1606965</v>
      </c>
      <c r="G137" s="485">
        <f t="shared" si="46"/>
        <v>1785204.5</v>
      </c>
      <c r="H137" s="486">
        <f t="shared" si="43"/>
        <v>559622.40618733782</v>
      </c>
      <c r="I137" s="542">
        <f t="shared" si="44"/>
        <v>559622.40618733782</v>
      </c>
      <c r="J137" s="478">
        <f t="shared" si="50"/>
        <v>0</v>
      </c>
      <c r="K137" s="478"/>
      <c r="L137" s="487"/>
      <c r="M137" s="478">
        <f t="shared" si="47"/>
        <v>0</v>
      </c>
      <c r="N137" s="487"/>
      <c r="O137" s="478">
        <f t="shared" si="48"/>
        <v>0</v>
      </c>
      <c r="P137" s="478">
        <f t="shared" si="49"/>
        <v>0</v>
      </c>
    </row>
    <row r="138" spans="2:16">
      <c r="B138" s="160" t="str">
        <f t="shared" si="31"/>
        <v/>
      </c>
      <c r="C138" s="472">
        <f>IF(D93="","-",+C137+1)</f>
        <v>2047</v>
      </c>
      <c r="D138" s="347">
        <f>IF(F137+SUM(E$99:E137)=D$92,F137,D$92-SUM(E$99:E137))</f>
        <v>1606965</v>
      </c>
      <c r="E138" s="486">
        <f>IF(+J96&lt;F137,J96,D138)</f>
        <v>356479</v>
      </c>
      <c r="F138" s="485">
        <f t="shared" si="45"/>
        <v>1250486</v>
      </c>
      <c r="G138" s="485">
        <f t="shared" si="46"/>
        <v>1428725.5</v>
      </c>
      <c r="H138" s="486">
        <f t="shared" si="43"/>
        <v>519057.66512027464</v>
      </c>
      <c r="I138" s="542">
        <f t="shared" si="44"/>
        <v>519057.66512027464</v>
      </c>
      <c r="J138" s="478">
        <f t="shared" si="50"/>
        <v>0</v>
      </c>
      <c r="K138" s="478"/>
      <c r="L138" s="487"/>
      <c r="M138" s="478">
        <f t="shared" si="47"/>
        <v>0</v>
      </c>
      <c r="N138" s="487"/>
      <c r="O138" s="478">
        <f t="shared" si="48"/>
        <v>0</v>
      </c>
      <c r="P138" s="478">
        <f t="shared" si="49"/>
        <v>0</v>
      </c>
    </row>
    <row r="139" spans="2:16">
      <c r="B139" s="160" t="str">
        <f t="shared" si="31"/>
        <v/>
      </c>
      <c r="C139" s="472">
        <f>IF(D93="","-",+C138+1)</f>
        <v>2048</v>
      </c>
      <c r="D139" s="347">
        <f>IF(F138+SUM(E$99:E138)=D$92,F138,D$92-SUM(E$99:E138))</f>
        <v>1250486</v>
      </c>
      <c r="E139" s="486">
        <f>IF(+J96&lt;F138,J96,D139)</f>
        <v>356479</v>
      </c>
      <c r="F139" s="485">
        <f t="shared" si="45"/>
        <v>894007</v>
      </c>
      <c r="G139" s="485">
        <f t="shared" si="46"/>
        <v>1072246.5</v>
      </c>
      <c r="H139" s="486">
        <f t="shared" si="43"/>
        <v>478492.92405321146</v>
      </c>
      <c r="I139" s="542">
        <f t="shared" si="44"/>
        <v>478492.92405321146</v>
      </c>
      <c r="J139" s="478">
        <f t="shared" si="50"/>
        <v>0</v>
      </c>
      <c r="K139" s="478"/>
      <c r="L139" s="487"/>
      <c r="M139" s="478">
        <f t="shared" si="47"/>
        <v>0</v>
      </c>
      <c r="N139" s="487"/>
      <c r="O139" s="478">
        <f t="shared" si="48"/>
        <v>0</v>
      </c>
      <c r="P139" s="478">
        <f t="shared" si="49"/>
        <v>0</v>
      </c>
    </row>
    <row r="140" spans="2:16">
      <c r="B140" s="160" t="str">
        <f t="shared" si="31"/>
        <v/>
      </c>
      <c r="C140" s="472">
        <f>IF(D93="","-",+C139+1)</f>
        <v>2049</v>
      </c>
      <c r="D140" s="347">
        <f>IF(F139+SUM(E$99:E139)=D$92,F139,D$92-SUM(E$99:E139))</f>
        <v>894007</v>
      </c>
      <c r="E140" s="486">
        <f>IF(+J96&lt;F139,J96,D140)</f>
        <v>356479</v>
      </c>
      <c r="F140" s="485">
        <f t="shared" si="45"/>
        <v>537528</v>
      </c>
      <c r="G140" s="485">
        <f t="shared" si="46"/>
        <v>715767.5</v>
      </c>
      <c r="H140" s="486">
        <f t="shared" si="43"/>
        <v>437928.18298614828</v>
      </c>
      <c r="I140" s="542">
        <f t="shared" si="44"/>
        <v>437928.18298614828</v>
      </c>
      <c r="J140" s="478">
        <f t="shared" si="50"/>
        <v>0</v>
      </c>
      <c r="K140" s="478"/>
      <c r="L140" s="487"/>
      <c r="M140" s="478">
        <f t="shared" si="47"/>
        <v>0</v>
      </c>
      <c r="N140" s="487"/>
      <c r="O140" s="478">
        <f t="shared" si="48"/>
        <v>0</v>
      </c>
      <c r="P140" s="478">
        <f t="shared" si="49"/>
        <v>0</v>
      </c>
    </row>
    <row r="141" spans="2:16">
      <c r="B141" s="160" t="str">
        <f t="shared" si="31"/>
        <v/>
      </c>
      <c r="C141" s="472">
        <f>IF(D93="","-",+C140+1)</f>
        <v>2050</v>
      </c>
      <c r="D141" s="347">
        <f>IF(F140+SUM(E$99:E140)=D$92,F140,D$92-SUM(E$99:E140))</f>
        <v>537528</v>
      </c>
      <c r="E141" s="486">
        <f>IF(+J96&lt;F140,J96,D141)</f>
        <v>356479</v>
      </c>
      <c r="F141" s="485">
        <f t="shared" si="45"/>
        <v>181049</v>
      </c>
      <c r="G141" s="485">
        <f t="shared" si="46"/>
        <v>359288.5</v>
      </c>
      <c r="H141" s="486">
        <f t="shared" si="43"/>
        <v>397363.4419190851</v>
      </c>
      <c r="I141" s="542">
        <f t="shared" si="44"/>
        <v>397363.4419190851</v>
      </c>
      <c r="J141" s="478">
        <f t="shared" si="50"/>
        <v>0</v>
      </c>
      <c r="K141" s="478"/>
      <c r="L141" s="487"/>
      <c r="M141" s="478">
        <f t="shared" si="47"/>
        <v>0</v>
      </c>
      <c r="N141" s="487"/>
      <c r="O141" s="478">
        <f t="shared" si="48"/>
        <v>0</v>
      </c>
      <c r="P141" s="478">
        <f t="shared" si="49"/>
        <v>0</v>
      </c>
    </row>
    <row r="142" spans="2:16">
      <c r="B142" s="160" t="str">
        <f t="shared" si="31"/>
        <v/>
      </c>
      <c r="C142" s="472">
        <f>IF(D93="","-",+C141+1)</f>
        <v>2051</v>
      </c>
      <c r="D142" s="347">
        <f>IF(F141+SUM(E$99:E141)=D$92,F141,D$92-SUM(E$99:E141))</f>
        <v>181049</v>
      </c>
      <c r="E142" s="486">
        <f>IF(+J96&lt;F141,J96,D142)</f>
        <v>181049</v>
      </c>
      <c r="F142" s="485">
        <f t="shared" si="45"/>
        <v>0</v>
      </c>
      <c r="G142" s="485">
        <f t="shared" si="46"/>
        <v>90524.5</v>
      </c>
      <c r="H142" s="486">
        <f t="shared" si="43"/>
        <v>191350.03569277676</v>
      </c>
      <c r="I142" s="542">
        <f t="shared" si="44"/>
        <v>191350.03569277676</v>
      </c>
      <c r="J142" s="478">
        <f t="shared" si="50"/>
        <v>0</v>
      </c>
      <c r="K142" s="478"/>
      <c r="L142" s="487"/>
      <c r="M142" s="478">
        <f t="shared" si="47"/>
        <v>0</v>
      </c>
      <c r="N142" s="487"/>
      <c r="O142" s="478">
        <f t="shared" si="48"/>
        <v>0</v>
      </c>
      <c r="P142" s="478">
        <f t="shared" si="49"/>
        <v>0</v>
      </c>
    </row>
    <row r="143" spans="2:16">
      <c r="B143" s="160" t="str">
        <f t="shared" si="31"/>
        <v/>
      </c>
      <c r="C143" s="472">
        <f>IF(D93="","-",+C142+1)</f>
        <v>2052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45"/>
        <v>0</v>
      </c>
      <c r="G143" s="485">
        <f t="shared" si="46"/>
        <v>0</v>
      </c>
      <c r="H143" s="486">
        <f t="shared" si="43"/>
        <v>0</v>
      </c>
      <c r="I143" s="542">
        <f t="shared" si="44"/>
        <v>0</v>
      </c>
      <c r="J143" s="478">
        <f t="shared" si="50"/>
        <v>0</v>
      </c>
      <c r="K143" s="478"/>
      <c r="L143" s="487"/>
      <c r="M143" s="478">
        <f t="shared" si="47"/>
        <v>0</v>
      </c>
      <c r="N143" s="487"/>
      <c r="O143" s="478">
        <f t="shared" si="48"/>
        <v>0</v>
      </c>
      <c r="P143" s="478">
        <f t="shared" si="49"/>
        <v>0</v>
      </c>
    </row>
    <row r="144" spans="2:16">
      <c r="B144" s="160" t="str">
        <f t="shared" si="31"/>
        <v/>
      </c>
      <c r="C144" s="472">
        <f>IF(D93="","-",+C143+1)</f>
        <v>2053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45"/>
        <v>0</v>
      </c>
      <c r="G144" s="485">
        <f t="shared" si="46"/>
        <v>0</v>
      </c>
      <c r="H144" s="486">
        <f t="shared" si="43"/>
        <v>0</v>
      </c>
      <c r="I144" s="542">
        <f t="shared" si="44"/>
        <v>0</v>
      </c>
      <c r="J144" s="478">
        <f t="shared" si="50"/>
        <v>0</v>
      </c>
      <c r="K144" s="478"/>
      <c r="L144" s="487"/>
      <c r="M144" s="478">
        <f t="shared" si="47"/>
        <v>0</v>
      </c>
      <c r="N144" s="487"/>
      <c r="O144" s="478">
        <f t="shared" si="48"/>
        <v>0</v>
      </c>
      <c r="P144" s="478">
        <f t="shared" si="49"/>
        <v>0</v>
      </c>
    </row>
    <row r="145" spans="2:16">
      <c r="B145" s="160" t="str">
        <f t="shared" si="31"/>
        <v/>
      </c>
      <c r="C145" s="472">
        <f>IF(D93="","-",+C144+1)</f>
        <v>2054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45"/>
        <v>0</v>
      </c>
      <c r="G145" s="485">
        <f t="shared" si="46"/>
        <v>0</v>
      </c>
      <c r="H145" s="486">
        <f t="shared" si="43"/>
        <v>0</v>
      </c>
      <c r="I145" s="542">
        <f t="shared" si="44"/>
        <v>0</v>
      </c>
      <c r="J145" s="478">
        <f t="shared" si="50"/>
        <v>0</v>
      </c>
      <c r="K145" s="478"/>
      <c r="L145" s="487"/>
      <c r="M145" s="478">
        <f t="shared" si="47"/>
        <v>0</v>
      </c>
      <c r="N145" s="487"/>
      <c r="O145" s="478">
        <f t="shared" si="48"/>
        <v>0</v>
      </c>
      <c r="P145" s="478">
        <f t="shared" si="49"/>
        <v>0</v>
      </c>
    </row>
    <row r="146" spans="2:16">
      <c r="B146" s="160" t="str">
        <f t="shared" si="31"/>
        <v/>
      </c>
      <c r="C146" s="472">
        <f>IF(D93="","-",+C145+1)</f>
        <v>2055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45"/>
        <v>0</v>
      </c>
      <c r="G146" s="485">
        <f t="shared" si="46"/>
        <v>0</v>
      </c>
      <c r="H146" s="486">
        <f t="shared" si="43"/>
        <v>0</v>
      </c>
      <c r="I146" s="542">
        <f t="shared" si="44"/>
        <v>0</v>
      </c>
      <c r="J146" s="478">
        <f t="shared" si="50"/>
        <v>0</v>
      </c>
      <c r="K146" s="478"/>
      <c r="L146" s="487"/>
      <c r="M146" s="478">
        <f t="shared" si="47"/>
        <v>0</v>
      </c>
      <c r="N146" s="487"/>
      <c r="O146" s="478">
        <f t="shared" si="48"/>
        <v>0</v>
      </c>
      <c r="P146" s="478">
        <f t="shared" si="49"/>
        <v>0</v>
      </c>
    </row>
    <row r="147" spans="2:16">
      <c r="B147" s="160" t="str">
        <f t="shared" si="31"/>
        <v/>
      </c>
      <c r="C147" s="472">
        <f>IF(D93="","-",+C146+1)</f>
        <v>2056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45"/>
        <v>0</v>
      </c>
      <c r="G147" s="485">
        <f t="shared" si="46"/>
        <v>0</v>
      </c>
      <c r="H147" s="486">
        <f t="shared" si="43"/>
        <v>0</v>
      </c>
      <c r="I147" s="542">
        <f t="shared" si="44"/>
        <v>0</v>
      </c>
      <c r="J147" s="478">
        <f t="shared" si="50"/>
        <v>0</v>
      </c>
      <c r="K147" s="478"/>
      <c r="L147" s="487"/>
      <c r="M147" s="478">
        <f t="shared" si="47"/>
        <v>0</v>
      </c>
      <c r="N147" s="487"/>
      <c r="O147" s="478">
        <f t="shared" si="48"/>
        <v>0</v>
      </c>
      <c r="P147" s="478">
        <f t="shared" si="49"/>
        <v>0</v>
      </c>
    </row>
    <row r="148" spans="2:16">
      <c r="B148" s="160" t="str">
        <f t="shared" si="31"/>
        <v/>
      </c>
      <c r="C148" s="472">
        <f>IF(D93="","-",+C147+1)</f>
        <v>2057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45"/>
        <v>0</v>
      </c>
      <c r="G148" s="485">
        <f t="shared" si="46"/>
        <v>0</v>
      </c>
      <c r="H148" s="486">
        <f t="shared" si="43"/>
        <v>0</v>
      </c>
      <c r="I148" s="542">
        <f t="shared" si="44"/>
        <v>0</v>
      </c>
      <c r="J148" s="478">
        <f t="shared" si="50"/>
        <v>0</v>
      </c>
      <c r="K148" s="478"/>
      <c r="L148" s="487"/>
      <c r="M148" s="478">
        <f t="shared" si="47"/>
        <v>0</v>
      </c>
      <c r="N148" s="487"/>
      <c r="O148" s="478">
        <f t="shared" si="48"/>
        <v>0</v>
      </c>
      <c r="P148" s="478">
        <f t="shared" si="49"/>
        <v>0</v>
      </c>
    </row>
    <row r="149" spans="2:16">
      <c r="B149" s="160" t="str">
        <f t="shared" si="31"/>
        <v/>
      </c>
      <c r="C149" s="472">
        <f>IF(D93="","-",+C148+1)</f>
        <v>2058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45"/>
        <v>0</v>
      </c>
      <c r="G149" s="485">
        <f t="shared" si="46"/>
        <v>0</v>
      </c>
      <c r="H149" s="486">
        <f t="shared" si="43"/>
        <v>0</v>
      </c>
      <c r="I149" s="542">
        <f t="shared" si="44"/>
        <v>0</v>
      </c>
      <c r="J149" s="478">
        <f t="shared" si="50"/>
        <v>0</v>
      </c>
      <c r="K149" s="478"/>
      <c r="L149" s="487"/>
      <c r="M149" s="478">
        <f t="shared" si="47"/>
        <v>0</v>
      </c>
      <c r="N149" s="487"/>
      <c r="O149" s="478">
        <f t="shared" si="48"/>
        <v>0</v>
      </c>
      <c r="P149" s="478">
        <f t="shared" si="49"/>
        <v>0</v>
      </c>
    </row>
    <row r="150" spans="2:16">
      <c r="B150" s="160" t="str">
        <f t="shared" si="31"/>
        <v/>
      </c>
      <c r="C150" s="472">
        <f>IF(D93="","-",+C149+1)</f>
        <v>2059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45"/>
        <v>0</v>
      </c>
      <c r="G150" s="485">
        <f t="shared" si="46"/>
        <v>0</v>
      </c>
      <c r="H150" s="486">
        <f t="shared" si="43"/>
        <v>0</v>
      </c>
      <c r="I150" s="542">
        <f t="shared" si="44"/>
        <v>0</v>
      </c>
      <c r="J150" s="478">
        <f t="shared" si="50"/>
        <v>0</v>
      </c>
      <c r="K150" s="478"/>
      <c r="L150" s="487"/>
      <c r="M150" s="478">
        <f t="shared" si="47"/>
        <v>0</v>
      </c>
      <c r="N150" s="487"/>
      <c r="O150" s="478">
        <f t="shared" si="48"/>
        <v>0</v>
      </c>
      <c r="P150" s="478">
        <f t="shared" si="49"/>
        <v>0</v>
      </c>
    </row>
    <row r="151" spans="2:16">
      <c r="B151" s="160" t="str">
        <f t="shared" si="31"/>
        <v/>
      </c>
      <c r="C151" s="472">
        <f>IF(D93="","-",+C150+1)</f>
        <v>2060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45"/>
        <v>0</v>
      </c>
      <c r="G151" s="485">
        <f t="shared" si="46"/>
        <v>0</v>
      </c>
      <c r="H151" s="486">
        <f t="shared" si="43"/>
        <v>0</v>
      </c>
      <c r="I151" s="542">
        <f t="shared" si="44"/>
        <v>0</v>
      </c>
      <c r="J151" s="478">
        <f t="shared" si="50"/>
        <v>0</v>
      </c>
      <c r="K151" s="478"/>
      <c r="L151" s="487"/>
      <c r="M151" s="478">
        <f t="shared" si="47"/>
        <v>0</v>
      </c>
      <c r="N151" s="487"/>
      <c r="O151" s="478">
        <f t="shared" si="48"/>
        <v>0</v>
      </c>
      <c r="P151" s="478">
        <f t="shared" si="49"/>
        <v>0</v>
      </c>
    </row>
    <row r="152" spans="2:16">
      <c r="B152" s="160" t="str">
        <f t="shared" si="31"/>
        <v/>
      </c>
      <c r="C152" s="472">
        <f>IF(D93="","-",+C151+1)</f>
        <v>2061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45"/>
        <v>0</v>
      </c>
      <c r="G152" s="485">
        <f t="shared" si="46"/>
        <v>0</v>
      </c>
      <c r="H152" s="486">
        <f t="shared" si="43"/>
        <v>0</v>
      </c>
      <c r="I152" s="542">
        <f t="shared" si="44"/>
        <v>0</v>
      </c>
      <c r="J152" s="478">
        <f t="shared" si="50"/>
        <v>0</v>
      </c>
      <c r="K152" s="478"/>
      <c r="L152" s="487"/>
      <c r="M152" s="478">
        <f t="shared" si="47"/>
        <v>0</v>
      </c>
      <c r="N152" s="487"/>
      <c r="O152" s="478">
        <f t="shared" si="48"/>
        <v>0</v>
      </c>
      <c r="P152" s="478">
        <f t="shared" si="49"/>
        <v>0</v>
      </c>
    </row>
    <row r="153" spans="2:16">
      <c r="B153" s="160" t="str">
        <f t="shared" si="31"/>
        <v/>
      </c>
      <c r="C153" s="472">
        <f>IF(D93="","-",+C152+1)</f>
        <v>2062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45"/>
        <v>0</v>
      </c>
      <c r="G153" s="485">
        <f t="shared" si="46"/>
        <v>0</v>
      </c>
      <c r="H153" s="486">
        <f t="shared" si="43"/>
        <v>0</v>
      </c>
      <c r="I153" s="542">
        <f t="shared" si="44"/>
        <v>0</v>
      </c>
      <c r="J153" s="478">
        <f t="shared" si="50"/>
        <v>0</v>
      </c>
      <c r="K153" s="478"/>
      <c r="L153" s="487"/>
      <c r="M153" s="478">
        <f t="shared" si="47"/>
        <v>0</v>
      </c>
      <c r="N153" s="487"/>
      <c r="O153" s="478">
        <f t="shared" si="48"/>
        <v>0</v>
      </c>
      <c r="P153" s="478">
        <f t="shared" si="49"/>
        <v>0</v>
      </c>
    </row>
    <row r="154" spans="2:16" ht="13.5" thickBot="1">
      <c r="B154" s="160" t="str">
        <f t="shared" si="31"/>
        <v/>
      </c>
      <c r="C154" s="489">
        <f>IF(D93="","-",+C153+1)</f>
        <v>2063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5"/>
        <v>0</v>
      </c>
      <c r="G154" s="490">
        <f t="shared" si="46"/>
        <v>0</v>
      </c>
      <c r="H154" s="490">
        <f t="shared" si="43"/>
        <v>0</v>
      </c>
      <c r="I154" s="545">
        <f t="shared" ref="I154" si="51">ROUND(J$95*G154,0)+E154</f>
        <v>0</v>
      </c>
      <c r="J154" s="495">
        <f t="shared" si="50"/>
        <v>0</v>
      </c>
      <c r="K154" s="478"/>
      <c r="L154" s="494"/>
      <c r="M154" s="495">
        <f t="shared" si="47"/>
        <v>0</v>
      </c>
      <c r="N154" s="494"/>
      <c r="O154" s="495">
        <f t="shared" si="48"/>
        <v>0</v>
      </c>
      <c r="P154" s="495">
        <f t="shared" si="49"/>
        <v>0</v>
      </c>
    </row>
    <row r="155" spans="2:16">
      <c r="C155" s="347" t="s">
        <v>77</v>
      </c>
      <c r="D155" s="348"/>
      <c r="E155" s="348">
        <f>SUM(E99:E154)</f>
        <v>14615636</v>
      </c>
      <c r="F155" s="348"/>
      <c r="G155" s="348"/>
      <c r="H155" s="348">
        <f>SUM(H99:H154)</f>
        <v>55144089.278751008</v>
      </c>
      <c r="I155" s="348">
        <f>SUM(I99:I154)</f>
        <v>55144089.278751008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96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  <row r="1048576" spans="11:13" ht="12.75" customHeight="1">
      <c r="K1048576" s="476">
        <f>G1048576</f>
        <v>0</v>
      </c>
      <c r="L1048576" s="550">
        <f t="shared" ref="L1048576" si="52">IF(K1048576&lt;&gt;0,+G1048576-K1048576,0)</f>
        <v>0</v>
      </c>
      <c r="M1048576" s="476">
        <f>H1048576</f>
        <v>0</v>
      </c>
    </row>
  </sheetData>
  <phoneticPr fontId="0" type="noConversion"/>
  <conditionalFormatting sqref="C17:C72">
    <cfRule type="cellIs" dxfId="56" priority="1" stopIfTrue="1" operator="equal">
      <formula>$I$10</formula>
    </cfRule>
  </conditionalFormatting>
  <conditionalFormatting sqref="C99:C154">
    <cfRule type="cellIs" dxfId="55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3"/>
  <dimension ref="A1:P162"/>
  <sheetViews>
    <sheetView zoomScaleNormal="100" zoomScaleSheetLayoutView="75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5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37540.281940264002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37540.281940264002</v>
      </c>
      <c r="O6" s="233"/>
      <c r="P6" s="233"/>
    </row>
    <row r="7" spans="1:16" ht="13.5" thickBot="1">
      <c r="C7" s="431" t="s">
        <v>46</v>
      </c>
      <c r="D7" s="432" t="s">
        <v>206</v>
      </c>
      <c r="E7" s="330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83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f>387742</f>
        <v>387742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2006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9017.2558139534885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2006</v>
      </c>
      <c r="D17" s="473">
        <v>387742</v>
      </c>
      <c r="E17" s="474">
        <v>3877</v>
      </c>
      <c r="F17" s="473">
        <v>383865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/>
      <c r="C18" s="472">
        <f>IF(D11="","-",+C17+1)</f>
        <v>2007</v>
      </c>
      <c r="D18" s="479">
        <v>383865</v>
      </c>
      <c r="E18" s="480">
        <v>7755</v>
      </c>
      <c r="F18" s="479">
        <v>376110</v>
      </c>
      <c r="G18" s="479">
        <v>59847</v>
      </c>
      <c r="H18" s="479">
        <v>59847</v>
      </c>
      <c r="I18" s="475">
        <f t="shared" si="0"/>
        <v>0</v>
      </c>
      <c r="J18" s="475"/>
      <c r="K18" s="476">
        <v>59847</v>
      </c>
      <c r="L18" s="478">
        <f t="shared" si="1"/>
        <v>0</v>
      </c>
      <c r="M18" s="476">
        <v>59847</v>
      </c>
      <c r="N18" s="478">
        <f t="shared" si="2"/>
        <v>0</v>
      </c>
      <c r="O18" s="478">
        <f t="shared" si="3"/>
        <v>0</v>
      </c>
      <c r="P18" s="243"/>
    </row>
    <row r="19" spans="2:16">
      <c r="B19" s="160"/>
      <c r="C19" s="472">
        <f>IF(D11="","-",+C18+1)</f>
        <v>2008</v>
      </c>
      <c r="D19" s="479">
        <v>376557</v>
      </c>
      <c r="E19" s="561">
        <v>7457</v>
      </c>
      <c r="F19" s="479">
        <v>369100</v>
      </c>
      <c r="G19" s="479">
        <v>62208</v>
      </c>
      <c r="H19" s="479">
        <v>62208</v>
      </c>
      <c r="I19" s="475">
        <f t="shared" si="0"/>
        <v>0</v>
      </c>
      <c r="J19" s="475"/>
      <c r="K19" s="476">
        <v>62208</v>
      </c>
      <c r="L19" s="478">
        <f t="shared" si="1"/>
        <v>0</v>
      </c>
      <c r="M19" s="476">
        <v>62208</v>
      </c>
      <c r="N19" s="478">
        <f t="shared" si="2"/>
        <v>0</v>
      </c>
      <c r="O19" s="478">
        <f t="shared" si="3"/>
        <v>0</v>
      </c>
      <c r="P19" s="243"/>
    </row>
    <row r="20" spans="2:16">
      <c r="B20" s="160"/>
      <c r="C20" s="472">
        <f>IF(D11="","-",+C19+1)</f>
        <v>2009</v>
      </c>
      <c r="D20" s="479">
        <v>368843</v>
      </c>
      <c r="E20" s="561">
        <v>7316</v>
      </c>
      <c r="F20" s="479">
        <v>361527</v>
      </c>
      <c r="G20" s="479">
        <v>62704</v>
      </c>
      <c r="H20" s="479">
        <v>62704</v>
      </c>
      <c r="I20" s="475">
        <f t="shared" si="0"/>
        <v>0</v>
      </c>
      <c r="J20" s="475"/>
      <c r="K20" s="476">
        <v>62704</v>
      </c>
      <c r="L20" s="478">
        <f t="shared" si="1"/>
        <v>0</v>
      </c>
      <c r="M20" s="476">
        <v>62704</v>
      </c>
      <c r="N20" s="478">
        <f t="shared" si="2"/>
        <v>0</v>
      </c>
      <c r="O20" s="478">
        <f t="shared" si="3"/>
        <v>0</v>
      </c>
      <c r="P20" s="243"/>
    </row>
    <row r="21" spans="2:16">
      <c r="B21" s="160"/>
      <c r="C21" s="472">
        <f>IF(D12="","-",+C20+1)</f>
        <v>2010</v>
      </c>
      <c r="D21" s="479">
        <v>361337</v>
      </c>
      <c r="E21" s="480">
        <v>6923.9642857142853</v>
      </c>
      <c r="F21" s="479">
        <v>354413.03571428574</v>
      </c>
      <c r="G21" s="480">
        <v>58064.529944767884</v>
      </c>
      <c r="H21" s="481">
        <v>58064.529944767884</v>
      </c>
      <c r="I21" s="475">
        <f t="shared" si="0"/>
        <v>0</v>
      </c>
      <c r="J21" s="475"/>
      <c r="K21" s="540">
        <f t="shared" ref="K21:K26" si="4">G21</f>
        <v>58064.529944767884</v>
      </c>
      <c r="L21" s="478">
        <f t="shared" si="1"/>
        <v>0</v>
      </c>
      <c r="M21" s="540">
        <f t="shared" ref="M21:M26" si="5">H21</f>
        <v>58064.529944767884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ref="B22:B72" si="6">IF(D22=F21,"","IU")</f>
        <v/>
      </c>
      <c r="C22" s="472">
        <f>IF(D11="","-",+C21+1)</f>
        <v>2011</v>
      </c>
      <c r="D22" s="479">
        <v>354413.03571428574</v>
      </c>
      <c r="E22" s="480">
        <v>7602.7843137254904</v>
      </c>
      <c r="F22" s="479">
        <v>346810.25140056026</v>
      </c>
      <c r="G22" s="480">
        <v>61893.620096156621</v>
      </c>
      <c r="H22" s="481">
        <v>61893.620096156621</v>
      </c>
      <c r="I22" s="475">
        <f t="shared" si="0"/>
        <v>0</v>
      </c>
      <c r="J22" s="475"/>
      <c r="K22" s="476">
        <f t="shared" si="4"/>
        <v>61893.620096156621</v>
      </c>
      <c r="L22" s="550">
        <f t="shared" si="1"/>
        <v>0</v>
      </c>
      <c r="M22" s="476">
        <f t="shared" si="5"/>
        <v>61893.620096156621</v>
      </c>
      <c r="N22" s="478">
        <f t="shared" si="2"/>
        <v>0</v>
      </c>
      <c r="O22" s="478">
        <f t="shared" si="3"/>
        <v>0</v>
      </c>
      <c r="P22" s="243"/>
    </row>
    <row r="23" spans="2:16">
      <c r="B23" s="160" t="str">
        <f t="shared" si="6"/>
        <v/>
      </c>
      <c r="C23" s="472">
        <f>IF(D11="","-",+C22+1)</f>
        <v>2012</v>
      </c>
      <c r="D23" s="479">
        <v>346810.25140056026</v>
      </c>
      <c r="E23" s="480">
        <v>7456.5769230769229</v>
      </c>
      <c r="F23" s="479">
        <v>339353.67447748332</v>
      </c>
      <c r="G23" s="480">
        <v>54696.893588724874</v>
      </c>
      <c r="H23" s="481">
        <v>54696.893588724874</v>
      </c>
      <c r="I23" s="475">
        <f t="shared" si="0"/>
        <v>0</v>
      </c>
      <c r="J23" s="475"/>
      <c r="K23" s="476">
        <f t="shared" si="4"/>
        <v>54696.893588724874</v>
      </c>
      <c r="L23" s="550">
        <f t="shared" si="1"/>
        <v>0</v>
      </c>
      <c r="M23" s="476">
        <f t="shared" si="5"/>
        <v>54696.893588724874</v>
      </c>
      <c r="N23" s="478">
        <f t="shared" si="2"/>
        <v>0</v>
      </c>
      <c r="O23" s="478">
        <f t="shared" si="3"/>
        <v>0</v>
      </c>
      <c r="P23" s="243"/>
    </row>
    <row r="24" spans="2:16">
      <c r="B24" s="160" t="str">
        <f t="shared" si="6"/>
        <v/>
      </c>
      <c r="C24" s="472">
        <f>IF(D11="","-",+C23+1)</f>
        <v>2013</v>
      </c>
      <c r="D24" s="479">
        <v>339353.67447748332</v>
      </c>
      <c r="E24" s="480">
        <v>7456.5769230769229</v>
      </c>
      <c r="F24" s="479">
        <v>331897.09755440638</v>
      </c>
      <c r="G24" s="480">
        <v>54853.72619811543</v>
      </c>
      <c r="H24" s="481">
        <v>54853.72619811543</v>
      </c>
      <c r="I24" s="475">
        <v>0</v>
      </c>
      <c r="J24" s="475"/>
      <c r="K24" s="476">
        <f t="shared" si="4"/>
        <v>54853.72619811543</v>
      </c>
      <c r="L24" s="550">
        <f t="shared" ref="L24:L29" si="7">IF(K24&lt;&gt;0,+G24-K24,0)</f>
        <v>0</v>
      </c>
      <c r="M24" s="476">
        <f t="shared" si="5"/>
        <v>54853.72619811543</v>
      </c>
      <c r="N24" s="478">
        <f t="shared" ref="N24:N29" si="8">IF(M24&lt;&gt;0,+H24-M24,0)</f>
        <v>0</v>
      </c>
      <c r="O24" s="478">
        <f t="shared" ref="O24:O29" si="9">+N24-L24</f>
        <v>0</v>
      </c>
      <c r="P24" s="243"/>
    </row>
    <row r="25" spans="2:16">
      <c r="B25" s="160" t="str">
        <f t="shared" si="6"/>
        <v/>
      </c>
      <c r="C25" s="472">
        <f>IF(D11="","-",+C24+1)</f>
        <v>2014</v>
      </c>
      <c r="D25" s="479">
        <v>331897.09755440638</v>
      </c>
      <c r="E25" s="480">
        <v>7456.5769230769229</v>
      </c>
      <c r="F25" s="479">
        <v>324440.52063132945</v>
      </c>
      <c r="G25" s="480">
        <v>52118.659182147123</v>
      </c>
      <c r="H25" s="481">
        <v>52118.659182147123</v>
      </c>
      <c r="I25" s="475">
        <v>0</v>
      </c>
      <c r="J25" s="475"/>
      <c r="K25" s="476">
        <f t="shared" si="4"/>
        <v>52118.659182147123</v>
      </c>
      <c r="L25" s="550">
        <f t="shared" si="7"/>
        <v>0</v>
      </c>
      <c r="M25" s="476">
        <f t="shared" si="5"/>
        <v>52118.659182147123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/>
      </c>
      <c r="C26" s="472">
        <f>IF(D11="","-",+C25+1)</f>
        <v>2015</v>
      </c>
      <c r="D26" s="479">
        <v>324440.52063132945</v>
      </c>
      <c r="E26" s="480">
        <v>7456.5769230769229</v>
      </c>
      <c r="F26" s="479">
        <v>316983.94370825251</v>
      </c>
      <c r="G26" s="480">
        <v>51159.678410482353</v>
      </c>
      <c r="H26" s="481">
        <v>51159.678410482353</v>
      </c>
      <c r="I26" s="475">
        <v>0</v>
      </c>
      <c r="J26" s="475"/>
      <c r="K26" s="476">
        <f t="shared" si="4"/>
        <v>51159.678410482353</v>
      </c>
      <c r="L26" s="550">
        <f t="shared" si="7"/>
        <v>0</v>
      </c>
      <c r="M26" s="476">
        <f t="shared" si="5"/>
        <v>51159.678410482353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6"/>
        <v/>
      </c>
      <c r="C27" s="472">
        <f>IF(D11="","-",+C26+1)</f>
        <v>2016</v>
      </c>
      <c r="D27" s="479">
        <v>316983.94370825251</v>
      </c>
      <c r="E27" s="480">
        <v>7456.5769230769229</v>
      </c>
      <c r="F27" s="479">
        <v>309527.36678517557</v>
      </c>
      <c r="G27" s="480">
        <v>48054.073071867475</v>
      </c>
      <c r="H27" s="481">
        <v>48054.073071867475</v>
      </c>
      <c r="I27" s="475">
        <f t="shared" si="0"/>
        <v>0</v>
      </c>
      <c r="J27" s="475"/>
      <c r="K27" s="476">
        <f t="shared" ref="K27:K32" si="10">G27</f>
        <v>48054.073071867475</v>
      </c>
      <c r="L27" s="550">
        <f t="shared" si="7"/>
        <v>0</v>
      </c>
      <c r="M27" s="476">
        <f t="shared" ref="M27:M32" si="11">H27</f>
        <v>48054.073071867475</v>
      </c>
      <c r="N27" s="478">
        <f t="shared" si="8"/>
        <v>0</v>
      </c>
      <c r="O27" s="478">
        <f t="shared" si="9"/>
        <v>0</v>
      </c>
      <c r="P27" s="243"/>
    </row>
    <row r="28" spans="2:16">
      <c r="B28" s="160" t="str">
        <f t="shared" si="6"/>
        <v/>
      </c>
      <c r="C28" s="472">
        <f>IF(D11="","-",+C27+1)</f>
        <v>2017</v>
      </c>
      <c r="D28" s="479">
        <v>309527.36678517557</v>
      </c>
      <c r="E28" s="480">
        <v>8429.173913043478</v>
      </c>
      <c r="F28" s="479">
        <v>301098.19287213212</v>
      </c>
      <c r="G28" s="480">
        <v>46747.12706959022</v>
      </c>
      <c r="H28" s="481">
        <v>46747.12706959022</v>
      </c>
      <c r="I28" s="475">
        <f t="shared" si="0"/>
        <v>0</v>
      </c>
      <c r="J28" s="475"/>
      <c r="K28" s="476">
        <f t="shared" si="10"/>
        <v>46747.12706959022</v>
      </c>
      <c r="L28" s="550">
        <f t="shared" si="7"/>
        <v>0</v>
      </c>
      <c r="M28" s="476">
        <f t="shared" si="11"/>
        <v>46747.12706959022</v>
      </c>
      <c r="N28" s="478">
        <f t="shared" si="8"/>
        <v>0</v>
      </c>
      <c r="O28" s="478">
        <f t="shared" si="9"/>
        <v>0</v>
      </c>
      <c r="P28" s="243"/>
    </row>
    <row r="29" spans="2:16">
      <c r="B29" s="160" t="str">
        <f t="shared" si="6"/>
        <v/>
      </c>
      <c r="C29" s="472">
        <f>IF(D11="","-",+C28+1)</f>
        <v>2018</v>
      </c>
      <c r="D29" s="479">
        <v>301098.19287213212</v>
      </c>
      <c r="E29" s="480">
        <v>8616.4888888888891</v>
      </c>
      <c r="F29" s="479">
        <v>292481.70398324321</v>
      </c>
      <c r="G29" s="480">
        <v>48199.620253747162</v>
      </c>
      <c r="H29" s="481">
        <v>48199.620253747162</v>
      </c>
      <c r="I29" s="475">
        <f t="shared" si="0"/>
        <v>0</v>
      </c>
      <c r="J29" s="475"/>
      <c r="K29" s="476">
        <f t="shared" si="10"/>
        <v>48199.620253747162</v>
      </c>
      <c r="L29" s="550">
        <f t="shared" si="7"/>
        <v>0</v>
      </c>
      <c r="M29" s="476">
        <f t="shared" si="11"/>
        <v>48199.620253747162</v>
      </c>
      <c r="N29" s="478">
        <f t="shared" si="8"/>
        <v>0</v>
      </c>
      <c r="O29" s="478">
        <f t="shared" si="9"/>
        <v>0</v>
      </c>
      <c r="P29" s="243"/>
    </row>
    <row r="30" spans="2:16">
      <c r="B30" s="160" t="str">
        <f t="shared" si="6"/>
        <v/>
      </c>
      <c r="C30" s="472">
        <f>IF(D11="","-",+C29+1)</f>
        <v>2019</v>
      </c>
      <c r="D30" s="479">
        <v>292481.70398324321</v>
      </c>
      <c r="E30" s="480">
        <v>8616.4888888888891</v>
      </c>
      <c r="F30" s="479">
        <v>283865.21509435429</v>
      </c>
      <c r="G30" s="480">
        <v>47033.504196066257</v>
      </c>
      <c r="H30" s="481">
        <v>47033.504196066257</v>
      </c>
      <c r="I30" s="475">
        <f t="shared" si="0"/>
        <v>0</v>
      </c>
      <c r="J30" s="475"/>
      <c r="K30" s="476">
        <f t="shared" si="10"/>
        <v>47033.504196066257</v>
      </c>
      <c r="L30" s="550">
        <f t="shared" ref="L30" si="12">IF(K30&lt;&gt;0,+G30-K30,0)</f>
        <v>0</v>
      </c>
      <c r="M30" s="476">
        <f t="shared" si="11"/>
        <v>47033.504196066257</v>
      </c>
      <c r="N30" s="478">
        <f t="shared" ref="N30" si="13">IF(M30&lt;&gt;0,+H30-M30,0)</f>
        <v>0</v>
      </c>
      <c r="O30" s="478">
        <f t="shared" ref="O30" si="14">+N30-L30</f>
        <v>0</v>
      </c>
      <c r="P30" s="243"/>
    </row>
    <row r="31" spans="2:16">
      <c r="B31" s="160" t="str">
        <f t="shared" si="6"/>
        <v/>
      </c>
      <c r="C31" s="472">
        <f>IF(D11="","-",+C30+1)</f>
        <v>2020</v>
      </c>
      <c r="D31" s="479">
        <v>283865.21509435429</v>
      </c>
      <c r="E31" s="480">
        <v>9231.9523809523816</v>
      </c>
      <c r="F31" s="479">
        <v>274633.26271340193</v>
      </c>
      <c r="G31" s="480">
        <v>39392.204131039958</v>
      </c>
      <c r="H31" s="481">
        <v>39392.204131039958</v>
      </c>
      <c r="I31" s="475">
        <f t="shared" si="0"/>
        <v>0</v>
      </c>
      <c r="J31" s="475"/>
      <c r="K31" s="476">
        <f t="shared" si="10"/>
        <v>39392.204131039958</v>
      </c>
      <c r="L31" s="550">
        <f t="shared" ref="L31" si="15">IF(K31&lt;&gt;0,+G31-K31,0)</f>
        <v>0</v>
      </c>
      <c r="M31" s="476">
        <f t="shared" si="11"/>
        <v>39392.204131039958</v>
      </c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6"/>
        <v>IU</v>
      </c>
      <c r="C32" s="472">
        <f>IF(D11="","-",+C31+1)</f>
        <v>2021</v>
      </c>
      <c r="D32" s="479">
        <v>273556.20160229085</v>
      </c>
      <c r="E32" s="480">
        <v>9017.2558139534885</v>
      </c>
      <c r="F32" s="479">
        <v>264538.94578833738</v>
      </c>
      <c r="G32" s="480">
        <v>37540.281940264002</v>
      </c>
      <c r="H32" s="481">
        <v>37540.281940264002</v>
      </c>
      <c r="I32" s="475">
        <f t="shared" si="0"/>
        <v>0</v>
      </c>
      <c r="J32" s="475"/>
      <c r="K32" s="476">
        <f t="shared" si="10"/>
        <v>37540.281940264002</v>
      </c>
      <c r="L32" s="550">
        <f t="shared" ref="L32" si="16">IF(K32&lt;&gt;0,+G32-K32,0)</f>
        <v>0</v>
      </c>
      <c r="M32" s="476">
        <f t="shared" si="11"/>
        <v>37540.281940264002</v>
      </c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6"/>
        <v>IU</v>
      </c>
      <c r="C33" s="472">
        <f>IF(D11="","-",+C32+1)</f>
        <v>2022</v>
      </c>
      <c r="D33" s="485">
        <f>IF(F32+SUM(E$17:E32)=D$10,F32,D$10-SUM(E$17:E32))</f>
        <v>265616.00689944852</v>
      </c>
      <c r="E33" s="484">
        <f>IF(+I14&lt;F32,I14,D33)</f>
        <v>9017.2558139534885</v>
      </c>
      <c r="F33" s="485">
        <f t="shared" ref="F33:F72" si="17">+D33-E33</f>
        <v>256598.75108549502</v>
      </c>
      <c r="G33" s="486">
        <f t="shared" ref="G33:G72" si="18">(D33+F33)/2*I$12+E33</f>
        <v>39059.313949340576</v>
      </c>
      <c r="H33" s="455">
        <f t="shared" ref="H33:H72" si="19">+(D33+F33)/2*I$13+E33</f>
        <v>39059.313949340576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6"/>
        <v/>
      </c>
      <c r="C34" s="472">
        <f>IF(D11="","-",+C33+1)</f>
        <v>2023</v>
      </c>
      <c r="D34" s="485">
        <f>IF(F33+SUM(E$17:E33)=D$10,F33,D$10-SUM(E$17:E33))</f>
        <v>256598.75108549502</v>
      </c>
      <c r="E34" s="484">
        <f>IF(+I14&lt;F33,I14,D34)</f>
        <v>9017.2558139534885</v>
      </c>
      <c r="F34" s="485">
        <f t="shared" si="17"/>
        <v>247581.49527154153</v>
      </c>
      <c r="G34" s="486">
        <f t="shared" si="18"/>
        <v>38021.821541313839</v>
      </c>
      <c r="H34" s="455">
        <f t="shared" si="19"/>
        <v>38021.821541313839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6"/>
        <v/>
      </c>
      <c r="C35" s="472">
        <f>IF(D11="","-",+C34+1)</f>
        <v>2024</v>
      </c>
      <c r="D35" s="485">
        <f>IF(F34+SUM(E$17:E34)=D$10,F34,D$10-SUM(E$17:E34))</f>
        <v>247581.49527154153</v>
      </c>
      <c r="E35" s="484">
        <f>IF(+I14&lt;F34,I14,D35)</f>
        <v>9017.2558139534885</v>
      </c>
      <c r="F35" s="485">
        <f t="shared" si="17"/>
        <v>238564.23945758803</v>
      </c>
      <c r="G35" s="486">
        <f t="shared" si="18"/>
        <v>36984.329133287116</v>
      </c>
      <c r="H35" s="455">
        <f t="shared" si="19"/>
        <v>36984.329133287116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6"/>
        <v/>
      </c>
      <c r="C36" s="472">
        <f>IF(D11="","-",+C35+1)</f>
        <v>2025</v>
      </c>
      <c r="D36" s="485">
        <f>IF(F35+SUM(E$17:E35)=D$10,F35,D$10-SUM(E$17:E35))</f>
        <v>238564.23945758803</v>
      </c>
      <c r="E36" s="484">
        <f>IF(+I14&lt;F35,I14,D36)</f>
        <v>9017.2558139534885</v>
      </c>
      <c r="F36" s="485">
        <f t="shared" si="17"/>
        <v>229546.98364363454</v>
      </c>
      <c r="G36" s="486">
        <f t="shared" si="18"/>
        <v>35946.836725260378</v>
      </c>
      <c r="H36" s="455">
        <f t="shared" si="19"/>
        <v>35946.836725260378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6"/>
        <v/>
      </c>
      <c r="C37" s="472">
        <f>IF(D11="","-",+C36+1)</f>
        <v>2026</v>
      </c>
      <c r="D37" s="485">
        <f>IF(F36+SUM(E$17:E36)=D$10,F36,D$10-SUM(E$17:E36))</f>
        <v>229546.98364363454</v>
      </c>
      <c r="E37" s="484">
        <f>IF(+I14&lt;F36,I14,D37)</f>
        <v>9017.2558139534885</v>
      </c>
      <c r="F37" s="485">
        <f t="shared" si="17"/>
        <v>220529.72782968104</v>
      </c>
      <c r="G37" s="486">
        <f t="shared" si="18"/>
        <v>34909.344317233648</v>
      </c>
      <c r="H37" s="455">
        <f t="shared" si="19"/>
        <v>34909.344317233648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6"/>
        <v/>
      </c>
      <c r="C38" s="472">
        <f>IF(D11="","-",+C37+1)</f>
        <v>2027</v>
      </c>
      <c r="D38" s="485">
        <f>IF(F37+SUM(E$17:E37)=D$10,F37,D$10-SUM(E$17:E37))</f>
        <v>220529.72782968104</v>
      </c>
      <c r="E38" s="484">
        <f>IF(+I14&lt;F37,I14,D38)</f>
        <v>9017.2558139534885</v>
      </c>
      <c r="F38" s="485">
        <f t="shared" si="17"/>
        <v>211512.47201572754</v>
      </c>
      <c r="G38" s="486">
        <f t="shared" si="18"/>
        <v>33871.851909206911</v>
      </c>
      <c r="H38" s="455">
        <f t="shared" si="19"/>
        <v>33871.851909206911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6"/>
        <v/>
      </c>
      <c r="C39" s="472">
        <f>IF(D11="","-",+C38+1)</f>
        <v>2028</v>
      </c>
      <c r="D39" s="485">
        <f>IF(F38+SUM(E$17:E38)=D$10,F38,D$10-SUM(E$17:E38))</f>
        <v>211512.47201572754</v>
      </c>
      <c r="E39" s="484">
        <f>IF(+I14&lt;F38,I14,D39)</f>
        <v>9017.2558139534885</v>
      </c>
      <c r="F39" s="485">
        <f t="shared" si="17"/>
        <v>202495.21620177405</v>
      </c>
      <c r="G39" s="486">
        <f t="shared" si="18"/>
        <v>32834.359501180181</v>
      </c>
      <c r="H39" s="455">
        <f t="shared" si="19"/>
        <v>32834.359501180181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6"/>
        <v/>
      </c>
      <c r="C40" s="472">
        <f>IF(D11="","-",+C39+1)</f>
        <v>2029</v>
      </c>
      <c r="D40" s="485">
        <f>IF(F39+SUM(E$17:E39)=D$10,F39,D$10-SUM(E$17:E39))</f>
        <v>202495.21620177405</v>
      </c>
      <c r="E40" s="484">
        <f>IF(+I14&lt;F39,I14,D40)</f>
        <v>9017.2558139534885</v>
      </c>
      <c r="F40" s="485">
        <f t="shared" si="17"/>
        <v>193477.96038782055</v>
      </c>
      <c r="G40" s="486">
        <f t="shared" si="18"/>
        <v>31796.867093153447</v>
      </c>
      <c r="H40" s="455">
        <f t="shared" si="19"/>
        <v>31796.867093153447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6"/>
        <v/>
      </c>
      <c r="C41" s="472">
        <f>IF(D11="","-",+C40+1)</f>
        <v>2030</v>
      </c>
      <c r="D41" s="485">
        <f>IF(F40+SUM(E$17:E40)=D$10,F40,D$10-SUM(E$17:E40))</f>
        <v>193477.96038782055</v>
      </c>
      <c r="E41" s="484">
        <f>IF(+I14&lt;F40,I14,D41)</f>
        <v>9017.2558139534885</v>
      </c>
      <c r="F41" s="485">
        <f t="shared" si="17"/>
        <v>184460.70457386706</v>
      </c>
      <c r="G41" s="486">
        <f t="shared" si="18"/>
        <v>30759.374685126717</v>
      </c>
      <c r="H41" s="455">
        <f t="shared" si="19"/>
        <v>30759.374685126717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6"/>
        <v/>
      </c>
      <c r="C42" s="472">
        <f>IF(D11="","-",+C41+1)</f>
        <v>2031</v>
      </c>
      <c r="D42" s="485">
        <f>IF(F41+SUM(E$17:E41)=D$10,F41,D$10-SUM(E$17:E41))</f>
        <v>184460.70457386706</v>
      </c>
      <c r="E42" s="484">
        <f>IF(+I14&lt;F41,I14,D42)</f>
        <v>9017.2558139534885</v>
      </c>
      <c r="F42" s="485">
        <f t="shared" si="17"/>
        <v>175443.44875991356</v>
      </c>
      <c r="G42" s="486">
        <f t="shared" si="18"/>
        <v>29721.882277099983</v>
      </c>
      <c r="H42" s="455">
        <f t="shared" si="19"/>
        <v>29721.882277099983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6"/>
        <v/>
      </c>
      <c r="C43" s="472">
        <f>IF(D11="","-",+C42+1)</f>
        <v>2032</v>
      </c>
      <c r="D43" s="485">
        <f>IF(F42+SUM(E$17:E42)=D$10,F42,D$10-SUM(E$17:E42))</f>
        <v>175443.44875991356</v>
      </c>
      <c r="E43" s="484">
        <f>IF(+I14&lt;F42,I14,D43)</f>
        <v>9017.2558139534885</v>
      </c>
      <c r="F43" s="485">
        <f t="shared" si="17"/>
        <v>166426.19294596007</v>
      </c>
      <c r="G43" s="486">
        <f t="shared" si="18"/>
        <v>28684.389869073253</v>
      </c>
      <c r="H43" s="455">
        <f t="shared" si="19"/>
        <v>28684.389869073253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6"/>
        <v/>
      </c>
      <c r="C44" s="472">
        <f>IF(D11="","-",+C43+1)</f>
        <v>2033</v>
      </c>
      <c r="D44" s="485">
        <f>IF(F43+SUM(E$17:E43)=D$10,F43,D$10-SUM(E$17:E43))</f>
        <v>166426.19294596007</v>
      </c>
      <c r="E44" s="484">
        <f>IF(+I14&lt;F43,I14,D44)</f>
        <v>9017.2558139534885</v>
      </c>
      <c r="F44" s="485">
        <f t="shared" si="17"/>
        <v>157408.93713200657</v>
      </c>
      <c r="G44" s="486">
        <f t="shared" si="18"/>
        <v>27646.897461046519</v>
      </c>
      <c r="H44" s="455">
        <f t="shared" si="19"/>
        <v>27646.897461046519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6"/>
        <v/>
      </c>
      <c r="C45" s="472">
        <f>IF(D11="","-",+C44+1)</f>
        <v>2034</v>
      </c>
      <c r="D45" s="485">
        <f>IF(F44+SUM(E$17:E44)=D$10,F44,D$10-SUM(E$17:E44))</f>
        <v>157408.93713200657</v>
      </c>
      <c r="E45" s="484">
        <f>IF(+I14&lt;F44,I14,D45)</f>
        <v>9017.2558139534885</v>
      </c>
      <c r="F45" s="485">
        <f t="shared" si="17"/>
        <v>148391.68131805307</v>
      </c>
      <c r="G45" s="486">
        <f t="shared" si="18"/>
        <v>26609.405053019789</v>
      </c>
      <c r="H45" s="455">
        <f t="shared" si="19"/>
        <v>26609.405053019789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6"/>
        <v/>
      </c>
      <c r="C46" s="472">
        <f>IF(D11="","-",+C45+1)</f>
        <v>2035</v>
      </c>
      <c r="D46" s="485">
        <f>IF(F45+SUM(E$17:E45)=D$10,F45,D$10-SUM(E$17:E45))</f>
        <v>148391.68131805307</v>
      </c>
      <c r="E46" s="484">
        <f>IF(+I14&lt;F45,I14,D46)</f>
        <v>9017.2558139534885</v>
      </c>
      <c r="F46" s="485">
        <f t="shared" si="17"/>
        <v>139374.42550409958</v>
      </c>
      <c r="G46" s="486">
        <f t="shared" si="18"/>
        <v>25571.912644993055</v>
      </c>
      <c r="H46" s="455">
        <f t="shared" si="19"/>
        <v>25571.912644993055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6"/>
        <v/>
      </c>
      <c r="C47" s="472">
        <f>IF(D11="","-",+C46+1)</f>
        <v>2036</v>
      </c>
      <c r="D47" s="485">
        <f>IF(F46+SUM(E$17:E46)=D$10,F46,D$10-SUM(E$17:E46))</f>
        <v>139374.42550409958</v>
      </c>
      <c r="E47" s="484">
        <f>IF(+I14&lt;F46,I14,D47)</f>
        <v>9017.2558139534885</v>
      </c>
      <c r="F47" s="485">
        <f t="shared" si="17"/>
        <v>130357.16969014608</v>
      </c>
      <c r="G47" s="486">
        <f t="shared" si="18"/>
        <v>24534.420236966325</v>
      </c>
      <c r="H47" s="455">
        <f t="shared" si="19"/>
        <v>24534.420236966325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6"/>
        <v/>
      </c>
      <c r="C48" s="472">
        <f>IF(D11="","-",+C47+1)</f>
        <v>2037</v>
      </c>
      <c r="D48" s="485">
        <f>IF(F47+SUM(E$17:E47)=D$10,F47,D$10-SUM(E$17:E47))</f>
        <v>130357.16969014608</v>
      </c>
      <c r="E48" s="484">
        <f>IF(+I14&lt;F47,I14,D48)</f>
        <v>9017.2558139534885</v>
      </c>
      <c r="F48" s="485">
        <f t="shared" si="17"/>
        <v>121339.91387619259</v>
      </c>
      <c r="G48" s="486">
        <f t="shared" si="18"/>
        <v>23496.927828939592</v>
      </c>
      <c r="H48" s="455">
        <f t="shared" si="19"/>
        <v>23496.927828939592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6"/>
        <v/>
      </c>
      <c r="C49" s="472">
        <f>IF(D11="","-",+C48+1)</f>
        <v>2038</v>
      </c>
      <c r="D49" s="485">
        <f>IF(F48+SUM(E$17:E48)=D$10,F48,D$10-SUM(E$17:E48))</f>
        <v>121339.91387619259</v>
      </c>
      <c r="E49" s="484">
        <f>IF(+I14&lt;F48,I14,D49)</f>
        <v>9017.2558139534885</v>
      </c>
      <c r="F49" s="485">
        <f t="shared" si="17"/>
        <v>112322.65806223909</v>
      </c>
      <c r="G49" s="486">
        <f t="shared" si="18"/>
        <v>22459.435420912858</v>
      </c>
      <c r="H49" s="455">
        <f t="shared" si="19"/>
        <v>22459.435420912858</v>
      </c>
      <c r="I49" s="475">
        <f t="shared" ref="I49:I72" si="20">H49-G49</f>
        <v>0</v>
      </c>
      <c r="J49" s="475"/>
      <c r="K49" s="487"/>
      <c r="L49" s="478">
        <f t="shared" ref="L49:L72" si="21">IF(K49&lt;&gt;0,+G49-K49,0)</f>
        <v>0</v>
      </c>
      <c r="M49" s="487"/>
      <c r="N49" s="478">
        <f t="shared" ref="N49:N72" si="22">IF(M49&lt;&gt;0,+H49-M49,0)</f>
        <v>0</v>
      </c>
      <c r="O49" s="478">
        <f t="shared" ref="O49:O72" si="23">+N49-L49</f>
        <v>0</v>
      </c>
      <c r="P49" s="243"/>
    </row>
    <row r="50" spans="2:16">
      <c r="B50" s="160" t="str">
        <f t="shared" si="6"/>
        <v/>
      </c>
      <c r="C50" s="472">
        <f>IF(D11="","-",+C49+1)</f>
        <v>2039</v>
      </c>
      <c r="D50" s="485">
        <f>IF(F49+SUM(E$17:E49)=D$10,F49,D$10-SUM(E$17:E49))</f>
        <v>112322.65806223909</v>
      </c>
      <c r="E50" s="484">
        <f>IF(+I14&lt;F49,I14,D50)</f>
        <v>9017.2558139534885</v>
      </c>
      <c r="F50" s="485">
        <f t="shared" si="17"/>
        <v>103305.40224828559</v>
      </c>
      <c r="G50" s="486">
        <f t="shared" si="18"/>
        <v>21421.943012886128</v>
      </c>
      <c r="H50" s="455">
        <f t="shared" si="19"/>
        <v>21421.943012886128</v>
      </c>
      <c r="I50" s="475">
        <f t="shared" si="20"/>
        <v>0</v>
      </c>
      <c r="J50" s="475"/>
      <c r="K50" s="487"/>
      <c r="L50" s="478">
        <f t="shared" si="21"/>
        <v>0</v>
      </c>
      <c r="M50" s="487"/>
      <c r="N50" s="478">
        <f t="shared" si="22"/>
        <v>0</v>
      </c>
      <c r="O50" s="478">
        <f t="shared" si="23"/>
        <v>0</v>
      </c>
      <c r="P50" s="243"/>
    </row>
    <row r="51" spans="2:16">
      <c r="B51" s="160" t="str">
        <f t="shared" si="6"/>
        <v/>
      </c>
      <c r="C51" s="472">
        <f>IF(D11="","-",+C50+1)</f>
        <v>2040</v>
      </c>
      <c r="D51" s="485">
        <f>IF(F50+SUM(E$17:E50)=D$10,F50,D$10-SUM(E$17:E50))</f>
        <v>103305.40224828559</v>
      </c>
      <c r="E51" s="484">
        <f>IF(+I14&lt;F50,I14,D51)</f>
        <v>9017.2558139534885</v>
      </c>
      <c r="F51" s="485">
        <f t="shared" si="17"/>
        <v>94288.146434332099</v>
      </c>
      <c r="G51" s="486">
        <f t="shared" si="18"/>
        <v>20384.450604859398</v>
      </c>
      <c r="H51" s="455">
        <f t="shared" si="19"/>
        <v>20384.450604859398</v>
      </c>
      <c r="I51" s="475">
        <f t="shared" si="20"/>
        <v>0</v>
      </c>
      <c r="J51" s="475"/>
      <c r="K51" s="487"/>
      <c r="L51" s="478">
        <f t="shared" si="21"/>
        <v>0</v>
      </c>
      <c r="M51" s="487"/>
      <c r="N51" s="478">
        <f t="shared" si="22"/>
        <v>0</v>
      </c>
      <c r="O51" s="478">
        <f t="shared" si="23"/>
        <v>0</v>
      </c>
      <c r="P51" s="243"/>
    </row>
    <row r="52" spans="2:16">
      <c r="B52" s="160" t="str">
        <f t="shared" si="6"/>
        <v/>
      </c>
      <c r="C52" s="472">
        <f>IF(D11="","-",+C51+1)</f>
        <v>2041</v>
      </c>
      <c r="D52" s="485">
        <f>IF(F51+SUM(E$17:E51)=D$10,F51,D$10-SUM(E$17:E51))</f>
        <v>94288.146434332099</v>
      </c>
      <c r="E52" s="484">
        <f>IF(+I14&lt;F51,I14,D52)</f>
        <v>9017.2558139534885</v>
      </c>
      <c r="F52" s="485">
        <f t="shared" si="17"/>
        <v>85270.890620378603</v>
      </c>
      <c r="G52" s="486">
        <f t="shared" si="18"/>
        <v>19346.958196832664</v>
      </c>
      <c r="H52" s="455">
        <f t="shared" si="19"/>
        <v>19346.958196832664</v>
      </c>
      <c r="I52" s="475">
        <f t="shared" si="20"/>
        <v>0</v>
      </c>
      <c r="J52" s="475"/>
      <c r="K52" s="487"/>
      <c r="L52" s="478">
        <f t="shared" si="21"/>
        <v>0</v>
      </c>
      <c r="M52" s="487"/>
      <c r="N52" s="478">
        <f t="shared" si="22"/>
        <v>0</v>
      </c>
      <c r="O52" s="478">
        <f t="shared" si="23"/>
        <v>0</v>
      </c>
      <c r="P52" s="243"/>
    </row>
    <row r="53" spans="2:16">
      <c r="B53" s="160" t="str">
        <f t="shared" si="6"/>
        <v/>
      </c>
      <c r="C53" s="472">
        <f>IF(D11="","-",+C52+1)</f>
        <v>2042</v>
      </c>
      <c r="D53" s="485">
        <f>IF(F52+SUM(E$17:E52)=D$10,F52,D$10-SUM(E$17:E52))</f>
        <v>85270.890620378603</v>
      </c>
      <c r="E53" s="484">
        <f>IF(+I14&lt;F52,I14,D53)</f>
        <v>9017.2558139534885</v>
      </c>
      <c r="F53" s="485">
        <f t="shared" si="17"/>
        <v>76253.634806425107</v>
      </c>
      <c r="G53" s="486">
        <f t="shared" si="18"/>
        <v>18309.46578880593</v>
      </c>
      <c r="H53" s="455">
        <f t="shared" si="19"/>
        <v>18309.46578880593</v>
      </c>
      <c r="I53" s="475">
        <f t="shared" si="20"/>
        <v>0</v>
      </c>
      <c r="J53" s="475"/>
      <c r="K53" s="487"/>
      <c r="L53" s="478">
        <f t="shared" si="21"/>
        <v>0</v>
      </c>
      <c r="M53" s="487"/>
      <c r="N53" s="478">
        <f t="shared" si="22"/>
        <v>0</v>
      </c>
      <c r="O53" s="478">
        <f t="shared" si="23"/>
        <v>0</v>
      </c>
      <c r="P53" s="243"/>
    </row>
    <row r="54" spans="2:16">
      <c r="B54" s="160" t="str">
        <f t="shared" si="6"/>
        <v/>
      </c>
      <c r="C54" s="472">
        <f>IF(D11="","-",+C53+1)</f>
        <v>2043</v>
      </c>
      <c r="D54" s="485">
        <f>IF(F53+SUM(E$17:E53)=D$10,F53,D$10-SUM(E$17:E53))</f>
        <v>76253.634806425107</v>
      </c>
      <c r="E54" s="484">
        <f>IF(+I14&lt;F53,I14,D54)</f>
        <v>9017.2558139534885</v>
      </c>
      <c r="F54" s="485">
        <f t="shared" si="17"/>
        <v>67236.378992471611</v>
      </c>
      <c r="G54" s="486">
        <f t="shared" si="18"/>
        <v>17271.9733807792</v>
      </c>
      <c r="H54" s="455">
        <f t="shared" si="19"/>
        <v>17271.9733807792</v>
      </c>
      <c r="I54" s="475">
        <f t="shared" si="20"/>
        <v>0</v>
      </c>
      <c r="J54" s="475"/>
      <c r="K54" s="487"/>
      <c r="L54" s="478">
        <f t="shared" si="21"/>
        <v>0</v>
      </c>
      <c r="M54" s="487"/>
      <c r="N54" s="478">
        <f t="shared" si="22"/>
        <v>0</v>
      </c>
      <c r="O54" s="478">
        <f t="shared" si="23"/>
        <v>0</v>
      </c>
      <c r="P54" s="243"/>
    </row>
    <row r="55" spans="2:16">
      <c r="B55" s="160" t="str">
        <f t="shared" si="6"/>
        <v/>
      </c>
      <c r="C55" s="472">
        <f>IF(D11="","-",+C54+1)</f>
        <v>2044</v>
      </c>
      <c r="D55" s="485">
        <f>IF(F54+SUM(E$17:E54)=D$10,F54,D$10-SUM(E$17:E54))</f>
        <v>67236.378992471611</v>
      </c>
      <c r="E55" s="484">
        <f>IF(+I14&lt;F54,I14,D55)</f>
        <v>9017.2558139534885</v>
      </c>
      <c r="F55" s="485">
        <f t="shared" si="17"/>
        <v>58219.123178518123</v>
      </c>
      <c r="G55" s="486">
        <f t="shared" si="18"/>
        <v>16234.480972752466</v>
      </c>
      <c r="H55" s="455">
        <f t="shared" si="19"/>
        <v>16234.480972752466</v>
      </c>
      <c r="I55" s="475">
        <f t="shared" si="20"/>
        <v>0</v>
      </c>
      <c r="J55" s="475"/>
      <c r="K55" s="487"/>
      <c r="L55" s="478">
        <f t="shared" si="21"/>
        <v>0</v>
      </c>
      <c r="M55" s="487"/>
      <c r="N55" s="478">
        <f t="shared" si="22"/>
        <v>0</v>
      </c>
      <c r="O55" s="478">
        <f t="shared" si="23"/>
        <v>0</v>
      </c>
      <c r="P55" s="243"/>
    </row>
    <row r="56" spans="2:16">
      <c r="B56" s="160" t="str">
        <f t="shared" si="6"/>
        <v/>
      </c>
      <c r="C56" s="472">
        <f>IF(D11="","-",+C55+1)</f>
        <v>2045</v>
      </c>
      <c r="D56" s="485">
        <f>IF(F55+SUM(E$17:E55)=D$10,F55,D$10-SUM(E$17:E55))</f>
        <v>58219.123178518123</v>
      </c>
      <c r="E56" s="484">
        <f>IF(+I14&lt;F55,I14,D56)</f>
        <v>9017.2558139534885</v>
      </c>
      <c r="F56" s="485">
        <f t="shared" si="17"/>
        <v>49201.867364564634</v>
      </c>
      <c r="G56" s="486">
        <f t="shared" si="18"/>
        <v>15196.988564725736</v>
      </c>
      <c r="H56" s="455">
        <f t="shared" si="19"/>
        <v>15196.988564725736</v>
      </c>
      <c r="I56" s="475">
        <f t="shared" si="20"/>
        <v>0</v>
      </c>
      <c r="J56" s="475"/>
      <c r="K56" s="487"/>
      <c r="L56" s="478">
        <f t="shared" si="21"/>
        <v>0</v>
      </c>
      <c r="M56" s="487"/>
      <c r="N56" s="478">
        <f t="shared" si="22"/>
        <v>0</v>
      </c>
      <c r="O56" s="478">
        <f t="shared" si="23"/>
        <v>0</v>
      </c>
      <c r="P56" s="243"/>
    </row>
    <row r="57" spans="2:16">
      <c r="B57" s="160" t="str">
        <f t="shared" si="6"/>
        <v/>
      </c>
      <c r="C57" s="472">
        <f>IF(D11="","-",+C56+1)</f>
        <v>2046</v>
      </c>
      <c r="D57" s="485">
        <f>IF(F56+SUM(E$17:E56)=D$10,F56,D$10-SUM(E$17:E56))</f>
        <v>49201.867364564634</v>
      </c>
      <c r="E57" s="484">
        <f>IF(+I14&lt;F56,I14,D57)</f>
        <v>9017.2558139534885</v>
      </c>
      <c r="F57" s="485">
        <f t="shared" si="17"/>
        <v>40184.611550611146</v>
      </c>
      <c r="G57" s="486">
        <f t="shared" si="18"/>
        <v>14159.496156699004</v>
      </c>
      <c r="H57" s="455">
        <f t="shared" si="19"/>
        <v>14159.496156699004</v>
      </c>
      <c r="I57" s="475">
        <f t="shared" si="20"/>
        <v>0</v>
      </c>
      <c r="J57" s="475"/>
      <c r="K57" s="487"/>
      <c r="L57" s="478">
        <f t="shared" si="21"/>
        <v>0</v>
      </c>
      <c r="M57" s="487"/>
      <c r="N57" s="478">
        <f t="shared" si="22"/>
        <v>0</v>
      </c>
      <c r="O57" s="478">
        <f t="shared" si="23"/>
        <v>0</v>
      </c>
      <c r="P57" s="243"/>
    </row>
    <row r="58" spans="2:16">
      <c r="B58" s="160" t="str">
        <f t="shared" si="6"/>
        <v/>
      </c>
      <c r="C58" s="472">
        <f>IF(D11="","-",+C57+1)</f>
        <v>2047</v>
      </c>
      <c r="D58" s="485">
        <f>IF(F57+SUM(E$17:E57)=D$10,F57,D$10-SUM(E$17:E57))</f>
        <v>40184.611550611146</v>
      </c>
      <c r="E58" s="484">
        <f>IF(+I14&lt;F57,I14,D58)</f>
        <v>9017.2558139534885</v>
      </c>
      <c r="F58" s="485">
        <f t="shared" si="17"/>
        <v>31167.355736657657</v>
      </c>
      <c r="G58" s="486">
        <f t="shared" si="18"/>
        <v>13122.003748672272</v>
      </c>
      <c r="H58" s="455">
        <f t="shared" si="19"/>
        <v>13122.003748672272</v>
      </c>
      <c r="I58" s="475">
        <f t="shared" si="20"/>
        <v>0</v>
      </c>
      <c r="J58" s="475"/>
      <c r="K58" s="487"/>
      <c r="L58" s="478">
        <f t="shared" si="21"/>
        <v>0</v>
      </c>
      <c r="M58" s="487"/>
      <c r="N58" s="478">
        <f t="shared" si="22"/>
        <v>0</v>
      </c>
      <c r="O58" s="478">
        <f t="shared" si="23"/>
        <v>0</v>
      </c>
      <c r="P58" s="243"/>
    </row>
    <row r="59" spans="2:16">
      <c r="B59" s="160" t="str">
        <f t="shared" si="6"/>
        <v/>
      </c>
      <c r="C59" s="472">
        <f>IF(D11="","-",+C58+1)</f>
        <v>2048</v>
      </c>
      <c r="D59" s="485">
        <f>IF(F58+SUM(E$17:E58)=D$10,F58,D$10-SUM(E$17:E58))</f>
        <v>31167.355736657657</v>
      </c>
      <c r="E59" s="484">
        <f>IF(+I14&lt;F58,I14,D59)</f>
        <v>9017.2558139534885</v>
      </c>
      <c r="F59" s="485">
        <f t="shared" si="17"/>
        <v>22150.099922704168</v>
      </c>
      <c r="G59" s="486">
        <f t="shared" si="18"/>
        <v>12084.511340645542</v>
      </c>
      <c r="H59" s="455">
        <f t="shared" si="19"/>
        <v>12084.511340645542</v>
      </c>
      <c r="I59" s="475">
        <f t="shared" si="20"/>
        <v>0</v>
      </c>
      <c r="J59" s="475"/>
      <c r="K59" s="487"/>
      <c r="L59" s="478">
        <f t="shared" si="21"/>
        <v>0</v>
      </c>
      <c r="M59" s="487"/>
      <c r="N59" s="478">
        <f t="shared" si="22"/>
        <v>0</v>
      </c>
      <c r="O59" s="478">
        <f t="shared" si="23"/>
        <v>0</v>
      </c>
      <c r="P59" s="243"/>
    </row>
    <row r="60" spans="2:16">
      <c r="B60" s="160" t="str">
        <f t="shared" si="6"/>
        <v/>
      </c>
      <c r="C60" s="472">
        <f>IF(D11="","-",+C59+1)</f>
        <v>2049</v>
      </c>
      <c r="D60" s="485">
        <f>IF(F59+SUM(E$17:E59)=D$10,F59,D$10-SUM(E$17:E59))</f>
        <v>22150.099922704168</v>
      </c>
      <c r="E60" s="484">
        <f>IF(+I14&lt;F59,I14,D60)</f>
        <v>9017.2558139534885</v>
      </c>
      <c r="F60" s="485">
        <f t="shared" si="17"/>
        <v>13132.84410875068</v>
      </c>
      <c r="G60" s="486">
        <f t="shared" si="18"/>
        <v>11047.01893261881</v>
      </c>
      <c r="H60" s="455">
        <f t="shared" si="19"/>
        <v>11047.01893261881</v>
      </c>
      <c r="I60" s="475">
        <f t="shared" si="20"/>
        <v>0</v>
      </c>
      <c r="J60" s="475"/>
      <c r="K60" s="487"/>
      <c r="L60" s="478">
        <f t="shared" si="21"/>
        <v>0</v>
      </c>
      <c r="M60" s="487"/>
      <c r="N60" s="478">
        <f t="shared" si="22"/>
        <v>0</v>
      </c>
      <c r="O60" s="478">
        <f t="shared" si="23"/>
        <v>0</v>
      </c>
      <c r="P60" s="243"/>
    </row>
    <row r="61" spans="2:16">
      <c r="B61" s="160" t="str">
        <f t="shared" si="6"/>
        <v/>
      </c>
      <c r="C61" s="472">
        <f>IF(D11="","-",+C60+1)</f>
        <v>2050</v>
      </c>
      <c r="D61" s="485">
        <f>IF(F60+SUM(E$17:E60)=D$10,F60,D$10-SUM(E$17:E60))</f>
        <v>13132.84410875068</v>
      </c>
      <c r="E61" s="484">
        <f>IF(+I14&lt;F60,I14,D61)</f>
        <v>9017.2558139534885</v>
      </c>
      <c r="F61" s="485">
        <f t="shared" si="17"/>
        <v>4115.5882947971913</v>
      </c>
      <c r="G61" s="486">
        <f t="shared" si="18"/>
        <v>10009.526524592078</v>
      </c>
      <c r="H61" s="455">
        <f t="shared" si="19"/>
        <v>10009.526524592078</v>
      </c>
      <c r="I61" s="475">
        <f t="shared" si="20"/>
        <v>0</v>
      </c>
      <c r="J61" s="475"/>
      <c r="K61" s="487"/>
      <c r="L61" s="478">
        <f t="shared" si="21"/>
        <v>0</v>
      </c>
      <c r="M61" s="487"/>
      <c r="N61" s="478">
        <f t="shared" si="22"/>
        <v>0</v>
      </c>
      <c r="O61" s="478">
        <f t="shared" si="23"/>
        <v>0</v>
      </c>
      <c r="P61" s="243"/>
    </row>
    <row r="62" spans="2:16">
      <c r="B62" s="160" t="str">
        <f t="shared" si="6"/>
        <v/>
      </c>
      <c r="C62" s="472">
        <f>IF(D11="","-",+C61+1)</f>
        <v>2051</v>
      </c>
      <c r="D62" s="485">
        <f>IF(F61+SUM(E$17:E61)=D$10,F61,D$10-SUM(E$17:E61))</f>
        <v>4115.5882947971913</v>
      </c>
      <c r="E62" s="484">
        <f>IF(+I14&lt;F61,I14,D62)</f>
        <v>4115.5882947971913</v>
      </c>
      <c r="F62" s="485">
        <f t="shared" si="17"/>
        <v>0</v>
      </c>
      <c r="G62" s="486">
        <f t="shared" si="18"/>
        <v>4352.3505481098036</v>
      </c>
      <c r="H62" s="455">
        <f t="shared" si="19"/>
        <v>4352.3505481098036</v>
      </c>
      <c r="I62" s="475">
        <f t="shared" si="20"/>
        <v>0</v>
      </c>
      <c r="J62" s="475"/>
      <c r="K62" s="487"/>
      <c r="L62" s="478">
        <f t="shared" si="21"/>
        <v>0</v>
      </c>
      <c r="M62" s="487"/>
      <c r="N62" s="478">
        <f t="shared" si="22"/>
        <v>0</v>
      </c>
      <c r="O62" s="478">
        <f t="shared" si="23"/>
        <v>0</v>
      </c>
      <c r="P62" s="243"/>
    </row>
    <row r="63" spans="2:16">
      <c r="B63" s="160" t="str">
        <f t="shared" si="6"/>
        <v/>
      </c>
      <c r="C63" s="472">
        <f>IF(D11="","-",+C62+1)</f>
        <v>2052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7"/>
        <v>0</v>
      </c>
      <c r="G63" s="486">
        <f t="shared" si="18"/>
        <v>0</v>
      </c>
      <c r="H63" s="455">
        <f t="shared" si="19"/>
        <v>0</v>
      </c>
      <c r="I63" s="475">
        <f t="shared" si="20"/>
        <v>0</v>
      </c>
      <c r="J63" s="475"/>
      <c r="K63" s="487"/>
      <c r="L63" s="478">
        <f t="shared" si="21"/>
        <v>0</v>
      </c>
      <c r="M63" s="487"/>
      <c r="N63" s="478">
        <f t="shared" si="22"/>
        <v>0</v>
      </c>
      <c r="O63" s="478">
        <f t="shared" si="23"/>
        <v>0</v>
      </c>
      <c r="P63" s="243"/>
    </row>
    <row r="64" spans="2:16">
      <c r="B64" s="160" t="str">
        <f t="shared" si="6"/>
        <v/>
      </c>
      <c r="C64" s="472">
        <f>IF(D11="","-",+C63+1)</f>
        <v>2053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7"/>
        <v>0</v>
      </c>
      <c r="G64" s="486">
        <f t="shared" si="18"/>
        <v>0</v>
      </c>
      <c r="H64" s="455">
        <f t="shared" si="19"/>
        <v>0</v>
      </c>
      <c r="I64" s="475">
        <f t="shared" si="20"/>
        <v>0</v>
      </c>
      <c r="J64" s="475"/>
      <c r="K64" s="487"/>
      <c r="L64" s="478">
        <f t="shared" si="21"/>
        <v>0</v>
      </c>
      <c r="M64" s="487"/>
      <c r="N64" s="478">
        <f t="shared" si="22"/>
        <v>0</v>
      </c>
      <c r="O64" s="478">
        <f t="shared" si="23"/>
        <v>0</v>
      </c>
      <c r="P64" s="243"/>
    </row>
    <row r="65" spans="2:16">
      <c r="B65" s="160" t="str">
        <f t="shared" si="6"/>
        <v/>
      </c>
      <c r="C65" s="472">
        <f>IF(D11="","-",+C64+1)</f>
        <v>2054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7"/>
        <v>0</v>
      </c>
      <c r="G65" s="486">
        <f t="shared" si="18"/>
        <v>0</v>
      </c>
      <c r="H65" s="455">
        <f t="shared" si="19"/>
        <v>0</v>
      </c>
      <c r="I65" s="475">
        <f t="shared" si="20"/>
        <v>0</v>
      </c>
      <c r="J65" s="475"/>
      <c r="K65" s="487"/>
      <c r="L65" s="478">
        <f t="shared" si="21"/>
        <v>0</v>
      </c>
      <c r="M65" s="487"/>
      <c r="N65" s="478">
        <f t="shared" si="22"/>
        <v>0</v>
      </c>
      <c r="O65" s="478">
        <f t="shared" si="23"/>
        <v>0</v>
      </c>
      <c r="P65" s="243"/>
    </row>
    <row r="66" spans="2:16">
      <c r="B66" s="160" t="str">
        <f t="shared" si="6"/>
        <v/>
      </c>
      <c r="C66" s="472">
        <f>IF(D11="","-",+C65+1)</f>
        <v>2055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7"/>
        <v>0</v>
      </c>
      <c r="G66" s="486">
        <f t="shared" si="18"/>
        <v>0</v>
      </c>
      <c r="H66" s="455">
        <f t="shared" si="19"/>
        <v>0</v>
      </c>
      <c r="I66" s="475">
        <f t="shared" si="20"/>
        <v>0</v>
      </c>
      <c r="J66" s="475"/>
      <c r="K66" s="487"/>
      <c r="L66" s="478">
        <f t="shared" si="21"/>
        <v>0</v>
      </c>
      <c r="M66" s="487"/>
      <c r="N66" s="478">
        <f t="shared" si="22"/>
        <v>0</v>
      </c>
      <c r="O66" s="478">
        <f t="shared" si="23"/>
        <v>0</v>
      </c>
      <c r="P66" s="243"/>
    </row>
    <row r="67" spans="2:16">
      <c r="B67" s="160" t="str">
        <f t="shared" si="6"/>
        <v/>
      </c>
      <c r="C67" s="472">
        <f>IF(D11="","-",+C66+1)</f>
        <v>2056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7"/>
        <v>0</v>
      </c>
      <c r="G67" s="486">
        <f t="shared" si="18"/>
        <v>0</v>
      </c>
      <c r="H67" s="455">
        <f t="shared" si="19"/>
        <v>0</v>
      </c>
      <c r="I67" s="475">
        <f t="shared" si="20"/>
        <v>0</v>
      </c>
      <c r="J67" s="475"/>
      <c r="K67" s="487"/>
      <c r="L67" s="478">
        <f t="shared" si="21"/>
        <v>0</v>
      </c>
      <c r="M67" s="487"/>
      <c r="N67" s="478">
        <f t="shared" si="22"/>
        <v>0</v>
      </c>
      <c r="O67" s="478">
        <f t="shared" si="23"/>
        <v>0</v>
      </c>
      <c r="P67" s="243"/>
    </row>
    <row r="68" spans="2:16">
      <c r="B68" s="160" t="str">
        <f t="shared" si="6"/>
        <v/>
      </c>
      <c r="C68" s="472">
        <f>IF(D11="","-",+C67+1)</f>
        <v>2057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7"/>
        <v>0</v>
      </c>
      <c r="G68" s="486">
        <f t="shared" si="18"/>
        <v>0</v>
      </c>
      <c r="H68" s="455">
        <f t="shared" si="19"/>
        <v>0</v>
      </c>
      <c r="I68" s="475">
        <f t="shared" si="20"/>
        <v>0</v>
      </c>
      <c r="J68" s="475"/>
      <c r="K68" s="487"/>
      <c r="L68" s="478">
        <f t="shared" si="21"/>
        <v>0</v>
      </c>
      <c r="M68" s="487"/>
      <c r="N68" s="478">
        <f t="shared" si="22"/>
        <v>0</v>
      </c>
      <c r="O68" s="478">
        <f t="shared" si="23"/>
        <v>0</v>
      </c>
      <c r="P68" s="243"/>
    </row>
    <row r="69" spans="2:16">
      <c r="B69" s="160" t="str">
        <f t="shared" si="6"/>
        <v/>
      </c>
      <c r="C69" s="472">
        <f>IF(D11="","-",+C68+1)</f>
        <v>2058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7"/>
        <v>0</v>
      </c>
      <c r="G69" s="486">
        <f t="shared" si="18"/>
        <v>0</v>
      </c>
      <c r="H69" s="455">
        <f t="shared" si="19"/>
        <v>0</v>
      </c>
      <c r="I69" s="475">
        <f t="shared" si="20"/>
        <v>0</v>
      </c>
      <c r="J69" s="475"/>
      <c r="K69" s="487"/>
      <c r="L69" s="478">
        <f t="shared" si="21"/>
        <v>0</v>
      </c>
      <c r="M69" s="487"/>
      <c r="N69" s="478">
        <f t="shared" si="22"/>
        <v>0</v>
      </c>
      <c r="O69" s="478">
        <f t="shared" si="23"/>
        <v>0</v>
      </c>
      <c r="P69" s="243"/>
    </row>
    <row r="70" spans="2:16">
      <c r="B70" s="160" t="str">
        <f t="shared" si="6"/>
        <v/>
      </c>
      <c r="C70" s="472">
        <f>IF(D11="","-",+C69+1)</f>
        <v>2059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7"/>
        <v>0</v>
      </c>
      <c r="G70" s="486">
        <f t="shared" si="18"/>
        <v>0</v>
      </c>
      <c r="H70" s="455">
        <f t="shared" si="19"/>
        <v>0</v>
      </c>
      <c r="I70" s="475">
        <f t="shared" si="20"/>
        <v>0</v>
      </c>
      <c r="J70" s="475"/>
      <c r="K70" s="487"/>
      <c r="L70" s="478">
        <f t="shared" si="21"/>
        <v>0</v>
      </c>
      <c r="M70" s="487"/>
      <c r="N70" s="478">
        <f t="shared" si="22"/>
        <v>0</v>
      </c>
      <c r="O70" s="478">
        <f t="shared" si="23"/>
        <v>0</v>
      </c>
      <c r="P70" s="243"/>
    </row>
    <row r="71" spans="2:16">
      <c r="B71" s="160" t="str">
        <f t="shared" si="6"/>
        <v/>
      </c>
      <c r="C71" s="472">
        <f>IF(D11="","-",+C70+1)</f>
        <v>2060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7"/>
        <v>0</v>
      </c>
      <c r="G71" s="486">
        <f t="shared" si="18"/>
        <v>0</v>
      </c>
      <c r="H71" s="455">
        <f t="shared" si="19"/>
        <v>0</v>
      </c>
      <c r="I71" s="475">
        <f t="shared" si="20"/>
        <v>0</v>
      </c>
      <c r="J71" s="475"/>
      <c r="K71" s="487"/>
      <c r="L71" s="478">
        <f t="shared" si="21"/>
        <v>0</v>
      </c>
      <c r="M71" s="487"/>
      <c r="N71" s="478">
        <f t="shared" si="22"/>
        <v>0</v>
      </c>
      <c r="O71" s="478">
        <f t="shared" si="23"/>
        <v>0</v>
      </c>
      <c r="P71" s="243"/>
    </row>
    <row r="72" spans="2:16" ht="13.5" thickBot="1">
      <c r="B72" s="160" t="str">
        <f t="shared" si="6"/>
        <v/>
      </c>
      <c r="C72" s="489">
        <f>IF(D11="","-",+C71+1)</f>
        <v>2061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7"/>
        <v>0</v>
      </c>
      <c r="G72" s="490">
        <f t="shared" si="18"/>
        <v>0</v>
      </c>
      <c r="H72" s="490">
        <f t="shared" si="19"/>
        <v>0</v>
      </c>
      <c r="I72" s="493">
        <f t="shared" si="20"/>
        <v>0</v>
      </c>
      <c r="J72" s="475"/>
      <c r="K72" s="494"/>
      <c r="L72" s="495">
        <f t="shared" si="21"/>
        <v>0</v>
      </c>
      <c r="M72" s="494"/>
      <c r="N72" s="495">
        <f t="shared" si="22"/>
        <v>0</v>
      </c>
      <c r="O72" s="495">
        <f t="shared" si="23"/>
        <v>0</v>
      </c>
      <c r="P72" s="243"/>
    </row>
    <row r="73" spans="2:16">
      <c r="C73" s="347" t="s">
        <v>77</v>
      </c>
      <c r="D73" s="348"/>
      <c r="E73" s="348">
        <f>SUM(E17:E72)</f>
        <v>387741.99999999965</v>
      </c>
      <c r="F73" s="348"/>
      <c r="G73" s="348">
        <f>SUM(G17:G72)</f>
        <v>1500363.4555031031</v>
      </c>
      <c r="H73" s="348">
        <f>SUM(H17:H72)</f>
        <v>1500363.4555031031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5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37540.281940264002</v>
      </c>
      <c r="N87" s="508">
        <f>IF(J92&lt;D11,0,VLOOKUP(J92,C17:O72,11))</f>
        <v>37540.281940264002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39968.546077508974</v>
      </c>
      <c r="N88" s="512">
        <f>IF(J92&lt;D11,0,VLOOKUP(J92,C99:P154,7))</f>
        <v>39968.546077508974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Catoosa 138 kV Device (Cap. Bank)</v>
      </c>
      <c r="E89" s="233"/>
      <c r="F89" s="233"/>
      <c r="G89" s="233">
        <v>387742</v>
      </c>
      <c r="H89" s="233"/>
      <c r="I89" s="242"/>
      <c r="J89" s="242"/>
      <c r="K89" s="515"/>
      <c r="L89" s="516" t="s">
        <v>156</v>
      </c>
      <c r="M89" s="517">
        <f>+M88-M87</f>
        <v>2428.2641372449725</v>
      </c>
      <c r="N89" s="517">
        <f>+N88-N87</f>
        <v>2428.2641372449725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TP2005006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387742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2006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5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9457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101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2006</v>
      </c>
      <c r="D99" s="473">
        <f>IF(D93=C99,0,D92)</f>
        <v>0</v>
      </c>
      <c r="E99" s="480">
        <v>3801</v>
      </c>
      <c r="F99" s="479">
        <v>383941</v>
      </c>
      <c r="G99" s="537">
        <v>385841</v>
      </c>
      <c r="H99" s="538">
        <v>0</v>
      </c>
      <c r="I99" s="539">
        <v>0</v>
      </c>
      <c r="J99" s="478">
        <f t="shared" ref="J99:J130" si="24">+I99-H99</f>
        <v>0</v>
      </c>
      <c r="K99" s="478"/>
      <c r="L99" s="554">
        <v>0</v>
      </c>
      <c r="M99" s="562">
        <f>IF(L99&lt;&gt;0,+H99-L99,0)</f>
        <v>0</v>
      </c>
      <c r="N99" s="554">
        <v>0</v>
      </c>
      <c r="O99" s="477">
        <f>IF(N99&lt;&gt;0,+I99-N99,0)</f>
        <v>0</v>
      </c>
      <c r="P99" s="477">
        <f t="shared" ref="P99:P130" si="25">+O99-M99</f>
        <v>0</v>
      </c>
    </row>
    <row r="100" spans="1:16">
      <c r="B100" s="160" t="str">
        <f t="shared" ref="B100:B154" si="26">IF(D100=F99,"","IU")</f>
        <v/>
      </c>
      <c r="C100" s="472">
        <f>IF(D93="","-",+C99+1)</f>
        <v>2007</v>
      </c>
      <c r="D100" s="473">
        <v>383941</v>
      </c>
      <c r="E100" s="561">
        <v>7603</v>
      </c>
      <c r="F100" s="479">
        <v>376338</v>
      </c>
      <c r="G100" s="479">
        <v>380140</v>
      </c>
      <c r="H100" s="480">
        <v>66528</v>
      </c>
      <c r="I100" s="481">
        <v>66528</v>
      </c>
      <c r="J100" s="478">
        <f t="shared" si="24"/>
        <v>0</v>
      </c>
      <c r="K100" s="478"/>
      <c r="L100" s="476">
        <v>0</v>
      </c>
      <c r="M100" s="550">
        <f>IF(L100&lt;&gt;0,+H100-L100,0)</f>
        <v>0</v>
      </c>
      <c r="N100" s="476">
        <v>0</v>
      </c>
      <c r="O100" s="478">
        <f>IF(N100&lt;&gt;0,+I100-N100,0)</f>
        <v>0</v>
      </c>
      <c r="P100" s="478">
        <f t="shared" si="25"/>
        <v>0</v>
      </c>
    </row>
    <row r="101" spans="1:16">
      <c r="B101" s="160"/>
      <c r="C101" s="472">
        <f>IF(D93="","-",+C100+1)</f>
        <v>2008</v>
      </c>
      <c r="D101" s="473">
        <v>376159</v>
      </c>
      <c r="E101" s="561">
        <v>7316</v>
      </c>
      <c r="F101" s="479">
        <v>368843</v>
      </c>
      <c r="G101" s="479">
        <v>372501</v>
      </c>
      <c r="H101" s="480">
        <v>66486</v>
      </c>
      <c r="I101" s="481">
        <v>66486</v>
      </c>
      <c r="J101" s="478">
        <f t="shared" si="24"/>
        <v>0</v>
      </c>
      <c r="K101" s="478"/>
      <c r="L101" s="476">
        <v>66486</v>
      </c>
      <c r="M101" s="478">
        <f>IF(L101&lt;&gt;"",+H101-L101,0)</f>
        <v>0</v>
      </c>
      <c r="N101" s="476">
        <v>66486</v>
      </c>
      <c r="O101" s="478">
        <f>IF(N101&lt;&gt;"",+I101-N101,0)</f>
        <v>0</v>
      </c>
      <c r="P101" s="478">
        <f t="shared" si="25"/>
        <v>0</v>
      </c>
    </row>
    <row r="102" spans="1:16">
      <c r="B102" s="160"/>
      <c r="C102" s="472">
        <f>IF(D93="","-",+C101+1)</f>
        <v>2009</v>
      </c>
      <c r="D102" s="473">
        <v>369022</v>
      </c>
      <c r="E102" s="480">
        <v>6924</v>
      </c>
      <c r="F102" s="479">
        <v>362098</v>
      </c>
      <c r="G102" s="479">
        <v>365560</v>
      </c>
      <c r="H102" s="480">
        <v>60371.899487403767</v>
      </c>
      <c r="I102" s="481">
        <v>60371.899487403767</v>
      </c>
      <c r="J102" s="478">
        <f t="shared" si="24"/>
        <v>0</v>
      </c>
      <c r="K102" s="478"/>
      <c r="L102" s="476">
        <f t="shared" ref="L102:L107" si="27">H102</f>
        <v>60371.899487403767</v>
      </c>
      <c r="M102" s="550">
        <f t="shared" ref="M102:M133" si="28">IF(L102&lt;&gt;0,+H102-L102,0)</f>
        <v>0</v>
      </c>
      <c r="N102" s="476">
        <f t="shared" ref="N102:N107" si="29">I102</f>
        <v>60371.899487403767</v>
      </c>
      <c r="O102" s="478">
        <f t="shared" ref="O102:O133" si="30">IF(N102&lt;&gt;0,+I102-N102,0)</f>
        <v>0</v>
      </c>
      <c r="P102" s="478">
        <f t="shared" si="25"/>
        <v>0</v>
      </c>
    </row>
    <row r="103" spans="1:16">
      <c r="B103" s="160" t="str">
        <f t="shared" si="26"/>
        <v/>
      </c>
      <c r="C103" s="472">
        <f>IF(D93="","-",+C102+1)</f>
        <v>2010</v>
      </c>
      <c r="D103" s="473">
        <v>362098</v>
      </c>
      <c r="E103" s="480">
        <v>7603</v>
      </c>
      <c r="F103" s="479">
        <v>354495</v>
      </c>
      <c r="G103" s="479">
        <v>358296.5</v>
      </c>
      <c r="H103" s="480">
        <v>65222.531099646738</v>
      </c>
      <c r="I103" s="481">
        <v>65222.531099646738</v>
      </c>
      <c r="J103" s="478">
        <f t="shared" si="24"/>
        <v>0</v>
      </c>
      <c r="K103" s="478"/>
      <c r="L103" s="540">
        <f t="shared" si="27"/>
        <v>65222.531099646738</v>
      </c>
      <c r="M103" s="541">
        <f t="shared" si="28"/>
        <v>0</v>
      </c>
      <c r="N103" s="540">
        <f t="shared" si="29"/>
        <v>65222.531099646738</v>
      </c>
      <c r="O103" s="478">
        <f t="shared" si="30"/>
        <v>0</v>
      </c>
      <c r="P103" s="478">
        <f t="shared" si="25"/>
        <v>0</v>
      </c>
    </row>
    <row r="104" spans="1:16">
      <c r="B104" s="160" t="str">
        <f t="shared" si="26"/>
        <v/>
      </c>
      <c r="C104" s="472">
        <f>IF(D93="","-",+C103+1)</f>
        <v>2011</v>
      </c>
      <c r="D104" s="473">
        <v>354495</v>
      </c>
      <c r="E104" s="480">
        <v>7457</v>
      </c>
      <c r="F104" s="479">
        <v>347038</v>
      </c>
      <c r="G104" s="479">
        <v>350766.5</v>
      </c>
      <c r="H104" s="480">
        <v>56498.870276795831</v>
      </c>
      <c r="I104" s="481">
        <v>56498.870276795831</v>
      </c>
      <c r="J104" s="478">
        <f t="shared" si="24"/>
        <v>0</v>
      </c>
      <c r="K104" s="478"/>
      <c r="L104" s="540">
        <f t="shared" si="27"/>
        <v>56498.870276795831</v>
      </c>
      <c r="M104" s="541">
        <f t="shared" si="28"/>
        <v>0</v>
      </c>
      <c r="N104" s="540">
        <f t="shared" si="29"/>
        <v>56498.870276795831</v>
      </c>
      <c r="O104" s="478">
        <f t="shared" si="30"/>
        <v>0</v>
      </c>
      <c r="P104" s="478">
        <f t="shared" si="25"/>
        <v>0</v>
      </c>
    </row>
    <row r="105" spans="1:16">
      <c r="B105" s="160" t="str">
        <f t="shared" si="26"/>
        <v/>
      </c>
      <c r="C105" s="472">
        <f>IF(D93="","-",+C104+1)</f>
        <v>2012</v>
      </c>
      <c r="D105" s="473">
        <v>347038</v>
      </c>
      <c r="E105" s="480">
        <v>7457</v>
      </c>
      <c r="F105" s="479">
        <v>339581</v>
      </c>
      <c r="G105" s="479">
        <v>343309.5</v>
      </c>
      <c r="H105" s="480">
        <v>56843.953528154576</v>
      </c>
      <c r="I105" s="481">
        <v>56843.953528154576</v>
      </c>
      <c r="J105" s="478">
        <v>0</v>
      </c>
      <c r="K105" s="478"/>
      <c r="L105" s="540">
        <f t="shared" si="27"/>
        <v>56843.953528154576</v>
      </c>
      <c r="M105" s="541">
        <f t="shared" ref="M105:M110" si="31">IF(L105&lt;&gt;0,+H105-L105,0)</f>
        <v>0</v>
      </c>
      <c r="N105" s="540">
        <f t="shared" si="29"/>
        <v>56843.953528154576</v>
      </c>
      <c r="O105" s="478">
        <f t="shared" ref="O105:O110" si="32">IF(N105&lt;&gt;0,+I105-N105,0)</f>
        <v>0</v>
      </c>
      <c r="P105" s="478">
        <f t="shared" ref="P105:P110" si="33">+O105-M105</f>
        <v>0</v>
      </c>
    </row>
    <row r="106" spans="1:16">
      <c r="B106" s="160" t="str">
        <f t="shared" si="26"/>
        <v/>
      </c>
      <c r="C106" s="472">
        <f>IF(D93="","-",+C105+1)</f>
        <v>2013</v>
      </c>
      <c r="D106" s="473">
        <v>339581</v>
      </c>
      <c r="E106" s="480">
        <v>7457</v>
      </c>
      <c r="F106" s="479">
        <v>332124</v>
      </c>
      <c r="G106" s="479">
        <v>335852.5</v>
      </c>
      <c r="H106" s="480">
        <v>55799.472473591821</v>
      </c>
      <c r="I106" s="481">
        <v>55799.472473591821</v>
      </c>
      <c r="J106" s="478">
        <v>0</v>
      </c>
      <c r="K106" s="478"/>
      <c r="L106" s="540">
        <f t="shared" si="27"/>
        <v>55799.472473591821</v>
      </c>
      <c r="M106" s="541">
        <f t="shared" si="31"/>
        <v>0</v>
      </c>
      <c r="N106" s="540">
        <f t="shared" si="29"/>
        <v>55799.472473591821</v>
      </c>
      <c r="O106" s="478">
        <f t="shared" si="32"/>
        <v>0</v>
      </c>
      <c r="P106" s="478">
        <f t="shared" si="33"/>
        <v>0</v>
      </c>
    </row>
    <row r="107" spans="1:16">
      <c r="B107" s="160" t="str">
        <f t="shared" si="26"/>
        <v/>
      </c>
      <c r="C107" s="472">
        <f>IF(D93="","-",+C106+1)</f>
        <v>2014</v>
      </c>
      <c r="D107" s="473">
        <v>332124</v>
      </c>
      <c r="E107" s="480">
        <v>7457</v>
      </c>
      <c r="F107" s="479">
        <v>324667</v>
      </c>
      <c r="G107" s="479">
        <v>328395.5</v>
      </c>
      <c r="H107" s="480">
        <v>53628.064898886892</v>
      </c>
      <c r="I107" s="481">
        <v>53628.064898886892</v>
      </c>
      <c r="J107" s="478">
        <v>0</v>
      </c>
      <c r="K107" s="478"/>
      <c r="L107" s="540">
        <f t="shared" si="27"/>
        <v>53628.064898886892</v>
      </c>
      <c r="M107" s="541">
        <f t="shared" si="31"/>
        <v>0</v>
      </c>
      <c r="N107" s="540">
        <f t="shared" si="29"/>
        <v>53628.064898886892</v>
      </c>
      <c r="O107" s="478">
        <f t="shared" si="32"/>
        <v>0</v>
      </c>
      <c r="P107" s="478">
        <f t="shared" si="33"/>
        <v>0</v>
      </c>
    </row>
    <row r="108" spans="1:16">
      <c r="B108" s="160" t="str">
        <f t="shared" si="26"/>
        <v/>
      </c>
      <c r="C108" s="472">
        <f>IF(D93="","-",+C107+1)</f>
        <v>2015</v>
      </c>
      <c r="D108" s="473">
        <v>324667</v>
      </c>
      <c r="E108" s="480">
        <v>7457</v>
      </c>
      <c r="F108" s="479">
        <v>317210</v>
      </c>
      <c r="G108" s="479">
        <v>320938.5</v>
      </c>
      <c r="H108" s="480">
        <v>51246.477852296055</v>
      </c>
      <c r="I108" s="481">
        <v>51246.477852296055</v>
      </c>
      <c r="J108" s="478">
        <f t="shared" si="24"/>
        <v>0</v>
      </c>
      <c r="K108" s="478"/>
      <c r="L108" s="540">
        <f t="shared" ref="L108:L113" si="34">H108</f>
        <v>51246.477852296055</v>
      </c>
      <c r="M108" s="541">
        <f t="shared" si="31"/>
        <v>0</v>
      </c>
      <c r="N108" s="540">
        <f t="shared" ref="N108:N113" si="35">I108</f>
        <v>51246.477852296055</v>
      </c>
      <c r="O108" s="478">
        <f t="shared" si="32"/>
        <v>0</v>
      </c>
      <c r="P108" s="478">
        <f t="shared" si="33"/>
        <v>0</v>
      </c>
    </row>
    <row r="109" spans="1:16">
      <c r="B109" s="160" t="str">
        <f t="shared" si="26"/>
        <v/>
      </c>
      <c r="C109" s="472">
        <f>IF(D93="","-",+C108+1)</f>
        <v>2016</v>
      </c>
      <c r="D109" s="473">
        <v>317210</v>
      </c>
      <c r="E109" s="480">
        <v>8429</v>
      </c>
      <c r="F109" s="479">
        <v>308781</v>
      </c>
      <c r="G109" s="479">
        <v>312995.5</v>
      </c>
      <c r="H109" s="480">
        <v>48779.04927680167</v>
      </c>
      <c r="I109" s="481">
        <v>48779.04927680167</v>
      </c>
      <c r="J109" s="478">
        <f t="shared" si="24"/>
        <v>0</v>
      </c>
      <c r="K109" s="478"/>
      <c r="L109" s="540">
        <f t="shared" si="34"/>
        <v>48779.04927680167</v>
      </c>
      <c r="M109" s="541">
        <f t="shared" si="31"/>
        <v>0</v>
      </c>
      <c r="N109" s="540">
        <f t="shared" si="35"/>
        <v>48779.04927680167</v>
      </c>
      <c r="O109" s="478">
        <f t="shared" si="32"/>
        <v>0</v>
      </c>
      <c r="P109" s="478">
        <f t="shared" si="33"/>
        <v>0</v>
      </c>
    </row>
    <row r="110" spans="1:16">
      <c r="B110" s="160" t="str">
        <f t="shared" si="26"/>
        <v/>
      </c>
      <c r="C110" s="472">
        <f>IF(D93="","-",+C109+1)</f>
        <v>2017</v>
      </c>
      <c r="D110" s="473">
        <v>308781</v>
      </c>
      <c r="E110" s="480">
        <v>8429</v>
      </c>
      <c r="F110" s="479">
        <v>300352</v>
      </c>
      <c r="G110" s="479">
        <v>304566.5</v>
      </c>
      <c r="H110" s="480">
        <v>47064.028489702585</v>
      </c>
      <c r="I110" s="481">
        <v>47064.028489702585</v>
      </c>
      <c r="J110" s="478">
        <f t="shared" si="24"/>
        <v>0</v>
      </c>
      <c r="K110" s="478"/>
      <c r="L110" s="540">
        <f t="shared" si="34"/>
        <v>47064.028489702585</v>
      </c>
      <c r="M110" s="541">
        <f t="shared" si="31"/>
        <v>0</v>
      </c>
      <c r="N110" s="540">
        <f t="shared" si="35"/>
        <v>47064.028489702585</v>
      </c>
      <c r="O110" s="478">
        <f t="shared" si="32"/>
        <v>0</v>
      </c>
      <c r="P110" s="478">
        <f t="shared" si="33"/>
        <v>0</v>
      </c>
    </row>
    <row r="111" spans="1:16">
      <c r="B111" s="160" t="str">
        <f t="shared" si="26"/>
        <v/>
      </c>
      <c r="C111" s="472">
        <f>IF(D93="","-",+C110+1)</f>
        <v>2018</v>
      </c>
      <c r="D111" s="473">
        <v>300352</v>
      </c>
      <c r="E111" s="480">
        <v>9017</v>
      </c>
      <c r="F111" s="479">
        <v>291335</v>
      </c>
      <c r="G111" s="479">
        <v>295843.5</v>
      </c>
      <c r="H111" s="480">
        <v>39410.649664559314</v>
      </c>
      <c r="I111" s="481">
        <v>39410.649664559314</v>
      </c>
      <c r="J111" s="478">
        <f t="shared" si="24"/>
        <v>0</v>
      </c>
      <c r="K111" s="478"/>
      <c r="L111" s="540">
        <f t="shared" si="34"/>
        <v>39410.649664559314</v>
      </c>
      <c r="M111" s="541">
        <f t="shared" ref="M111" si="36">IF(L111&lt;&gt;0,+H111-L111,0)</f>
        <v>0</v>
      </c>
      <c r="N111" s="540">
        <f t="shared" si="35"/>
        <v>39410.649664559314</v>
      </c>
      <c r="O111" s="478">
        <f t="shared" ref="O111" si="37">IF(N111&lt;&gt;0,+I111-N111,0)</f>
        <v>0</v>
      </c>
      <c r="P111" s="478">
        <f t="shared" ref="P111" si="38">+O111-M111</f>
        <v>0</v>
      </c>
    </row>
    <row r="112" spans="1:16">
      <c r="B112" s="160" t="str">
        <f t="shared" si="26"/>
        <v/>
      </c>
      <c r="C112" s="472">
        <f>IF(D93="","-",+C111+1)</f>
        <v>2019</v>
      </c>
      <c r="D112" s="473">
        <v>291335</v>
      </c>
      <c r="E112" s="480">
        <v>9457</v>
      </c>
      <c r="F112" s="479">
        <v>281878</v>
      </c>
      <c r="G112" s="479">
        <v>286606.5</v>
      </c>
      <c r="H112" s="480">
        <v>39010.150115878176</v>
      </c>
      <c r="I112" s="481">
        <v>39010.150115878176</v>
      </c>
      <c r="J112" s="478">
        <f t="shared" si="24"/>
        <v>0</v>
      </c>
      <c r="K112" s="478"/>
      <c r="L112" s="540">
        <f t="shared" si="34"/>
        <v>39010.150115878176</v>
      </c>
      <c r="M112" s="541">
        <f t="shared" ref="M112" si="39">IF(L112&lt;&gt;0,+H112-L112,0)</f>
        <v>0</v>
      </c>
      <c r="N112" s="540">
        <f t="shared" si="35"/>
        <v>39010.150115878176</v>
      </c>
      <c r="O112" s="478">
        <f t="shared" si="30"/>
        <v>0</v>
      </c>
      <c r="P112" s="478">
        <f t="shared" si="25"/>
        <v>0</v>
      </c>
    </row>
    <row r="113" spans="2:16">
      <c r="B113" s="160" t="str">
        <f t="shared" si="26"/>
        <v/>
      </c>
      <c r="C113" s="472">
        <f>IF(D93="","-",+C112+1)</f>
        <v>2020</v>
      </c>
      <c r="D113" s="473">
        <v>281878</v>
      </c>
      <c r="E113" s="480">
        <v>9017</v>
      </c>
      <c r="F113" s="479">
        <v>272861</v>
      </c>
      <c r="G113" s="479">
        <v>277369.5</v>
      </c>
      <c r="H113" s="480">
        <v>40996.940785437022</v>
      </c>
      <c r="I113" s="481">
        <v>40996.940785437022</v>
      </c>
      <c r="J113" s="478">
        <f t="shared" si="24"/>
        <v>0</v>
      </c>
      <c r="K113" s="478"/>
      <c r="L113" s="540">
        <f t="shared" si="34"/>
        <v>40996.940785437022</v>
      </c>
      <c r="M113" s="541">
        <f t="shared" ref="M113" si="40">IF(L113&lt;&gt;0,+H113-L113,0)</f>
        <v>0</v>
      </c>
      <c r="N113" s="540">
        <f t="shared" si="35"/>
        <v>40996.940785437022</v>
      </c>
      <c r="O113" s="478">
        <f t="shared" si="30"/>
        <v>0</v>
      </c>
      <c r="P113" s="478">
        <f t="shared" si="25"/>
        <v>0</v>
      </c>
    </row>
    <row r="114" spans="2:16">
      <c r="B114" s="160" t="str">
        <f t="shared" si="26"/>
        <v/>
      </c>
      <c r="C114" s="472">
        <f>IF(D93="","-",+C113+1)</f>
        <v>2021</v>
      </c>
      <c r="D114" s="347">
        <f>IF(F113+SUM(E$99:E113)=D$92,F113,D$92-SUM(E$99:E113))</f>
        <v>272861</v>
      </c>
      <c r="E114" s="486">
        <f>IF(+J96&lt;F113,J96,D114)</f>
        <v>9457</v>
      </c>
      <c r="F114" s="485">
        <f t="shared" ref="F114:F130" si="41">+D114-E114</f>
        <v>263404</v>
      </c>
      <c r="G114" s="485">
        <f t="shared" ref="G114:G130" si="42">+(F114+D114)/2</f>
        <v>268132.5</v>
      </c>
      <c r="H114" s="486">
        <f t="shared" ref="H114:H153" si="43">(D114+F114)/2*J$94+E114</f>
        <v>39968.546077508974</v>
      </c>
      <c r="I114" s="542">
        <f t="shared" ref="I114:I153" si="44">+J$95*G114+E114</f>
        <v>39968.546077508974</v>
      </c>
      <c r="J114" s="478">
        <f t="shared" si="24"/>
        <v>0</v>
      </c>
      <c r="K114" s="478"/>
      <c r="L114" s="487"/>
      <c r="M114" s="478">
        <f t="shared" si="28"/>
        <v>0</v>
      </c>
      <c r="N114" s="487"/>
      <c r="O114" s="478">
        <f t="shared" si="30"/>
        <v>0</v>
      </c>
      <c r="P114" s="478">
        <f t="shared" si="25"/>
        <v>0</v>
      </c>
    </row>
    <row r="115" spans="2:16">
      <c r="B115" s="160" t="str">
        <f t="shared" si="26"/>
        <v/>
      </c>
      <c r="C115" s="472">
        <f>IF(D93="","-",+C114+1)</f>
        <v>2022</v>
      </c>
      <c r="D115" s="347">
        <f>IF(F114+SUM(E$99:E114)=D$92,F114,D$92-SUM(E$99:E114))</f>
        <v>263404</v>
      </c>
      <c r="E115" s="486">
        <f>IF(+J96&lt;F114,J96,D115)</f>
        <v>9457</v>
      </c>
      <c r="F115" s="485">
        <f t="shared" si="41"/>
        <v>253947</v>
      </c>
      <c r="G115" s="485">
        <f t="shared" si="42"/>
        <v>258675.5</v>
      </c>
      <c r="H115" s="486">
        <f t="shared" si="43"/>
        <v>38892.407633810421</v>
      </c>
      <c r="I115" s="542">
        <f t="shared" si="44"/>
        <v>38892.407633810421</v>
      </c>
      <c r="J115" s="478">
        <f t="shared" si="24"/>
        <v>0</v>
      </c>
      <c r="K115" s="478"/>
      <c r="L115" s="487"/>
      <c r="M115" s="478">
        <f t="shared" si="28"/>
        <v>0</v>
      </c>
      <c r="N115" s="487"/>
      <c r="O115" s="478">
        <f t="shared" si="30"/>
        <v>0</v>
      </c>
      <c r="P115" s="478">
        <f t="shared" si="25"/>
        <v>0</v>
      </c>
    </row>
    <row r="116" spans="2:16">
      <c r="B116" s="160" t="str">
        <f t="shared" si="26"/>
        <v/>
      </c>
      <c r="C116" s="472">
        <f>IF(D93="","-",+C115+1)</f>
        <v>2023</v>
      </c>
      <c r="D116" s="347">
        <f>IF(F115+SUM(E$99:E115)=D$92,F115,D$92-SUM(E$99:E115))</f>
        <v>253947</v>
      </c>
      <c r="E116" s="486">
        <f>IF(+J96&lt;F115,J96,D116)</f>
        <v>9457</v>
      </c>
      <c r="F116" s="485">
        <f t="shared" si="41"/>
        <v>244490</v>
      </c>
      <c r="G116" s="485">
        <f t="shared" si="42"/>
        <v>249218.5</v>
      </c>
      <c r="H116" s="486">
        <f t="shared" si="43"/>
        <v>37816.269190111867</v>
      </c>
      <c r="I116" s="542">
        <f t="shared" si="44"/>
        <v>37816.269190111867</v>
      </c>
      <c r="J116" s="478">
        <f t="shared" si="24"/>
        <v>0</v>
      </c>
      <c r="K116" s="478"/>
      <c r="L116" s="487"/>
      <c r="M116" s="478">
        <f t="shared" si="28"/>
        <v>0</v>
      </c>
      <c r="N116" s="487"/>
      <c r="O116" s="478">
        <f t="shared" si="30"/>
        <v>0</v>
      </c>
      <c r="P116" s="478">
        <f t="shared" si="25"/>
        <v>0</v>
      </c>
    </row>
    <row r="117" spans="2:16">
      <c r="B117" s="160" t="str">
        <f t="shared" si="26"/>
        <v/>
      </c>
      <c r="C117" s="472">
        <f>IF(D93="","-",+C116+1)</f>
        <v>2024</v>
      </c>
      <c r="D117" s="347">
        <f>IF(F116+SUM(E$99:E116)=D$92,F116,D$92-SUM(E$99:E116))</f>
        <v>244490</v>
      </c>
      <c r="E117" s="486">
        <f>IF(+J96&lt;F116,J96,D117)</f>
        <v>9457</v>
      </c>
      <c r="F117" s="485">
        <f t="shared" si="41"/>
        <v>235033</v>
      </c>
      <c r="G117" s="485">
        <f t="shared" si="42"/>
        <v>239761.5</v>
      </c>
      <c r="H117" s="486">
        <f t="shared" si="43"/>
        <v>36740.130746413313</v>
      </c>
      <c r="I117" s="542">
        <f t="shared" si="44"/>
        <v>36740.130746413313</v>
      </c>
      <c r="J117" s="478">
        <f t="shared" si="24"/>
        <v>0</v>
      </c>
      <c r="K117" s="478"/>
      <c r="L117" s="487"/>
      <c r="M117" s="478">
        <f t="shared" si="28"/>
        <v>0</v>
      </c>
      <c r="N117" s="487"/>
      <c r="O117" s="478">
        <f t="shared" si="30"/>
        <v>0</v>
      </c>
      <c r="P117" s="478">
        <f t="shared" si="25"/>
        <v>0</v>
      </c>
    </row>
    <row r="118" spans="2:16">
      <c r="B118" s="160" t="str">
        <f t="shared" si="26"/>
        <v/>
      </c>
      <c r="C118" s="472">
        <f>IF(D93="","-",+C117+1)</f>
        <v>2025</v>
      </c>
      <c r="D118" s="347">
        <f>IF(F117+SUM(E$99:E117)=D$92,F117,D$92-SUM(E$99:E117))</f>
        <v>235033</v>
      </c>
      <c r="E118" s="486">
        <f>IF(+J96&lt;F117,J96,D118)</f>
        <v>9457</v>
      </c>
      <c r="F118" s="485">
        <f t="shared" si="41"/>
        <v>225576</v>
      </c>
      <c r="G118" s="485">
        <f t="shared" si="42"/>
        <v>230304.5</v>
      </c>
      <c r="H118" s="486">
        <f t="shared" si="43"/>
        <v>35663.99230271476</v>
      </c>
      <c r="I118" s="542">
        <f t="shared" si="44"/>
        <v>35663.99230271476</v>
      </c>
      <c r="J118" s="478">
        <f t="shared" si="24"/>
        <v>0</v>
      </c>
      <c r="K118" s="478"/>
      <c r="L118" s="487"/>
      <c r="M118" s="478">
        <f t="shared" si="28"/>
        <v>0</v>
      </c>
      <c r="N118" s="487"/>
      <c r="O118" s="478">
        <f t="shared" si="30"/>
        <v>0</v>
      </c>
      <c r="P118" s="478">
        <f t="shared" si="25"/>
        <v>0</v>
      </c>
    </row>
    <row r="119" spans="2:16">
      <c r="B119" s="160" t="str">
        <f t="shared" si="26"/>
        <v/>
      </c>
      <c r="C119" s="472">
        <f>IF(D93="","-",+C118+1)</f>
        <v>2026</v>
      </c>
      <c r="D119" s="347">
        <f>IF(F118+SUM(E$99:E118)=D$92,F118,D$92-SUM(E$99:E118))</f>
        <v>225576</v>
      </c>
      <c r="E119" s="486">
        <f>IF(+J96&lt;F118,J96,D119)</f>
        <v>9457</v>
      </c>
      <c r="F119" s="485">
        <f t="shared" si="41"/>
        <v>216119</v>
      </c>
      <c r="G119" s="485">
        <f t="shared" si="42"/>
        <v>220847.5</v>
      </c>
      <c r="H119" s="486">
        <f t="shared" si="43"/>
        <v>34587.853859016206</v>
      </c>
      <c r="I119" s="542">
        <f t="shared" si="44"/>
        <v>34587.853859016206</v>
      </c>
      <c r="J119" s="478">
        <f t="shared" si="24"/>
        <v>0</v>
      </c>
      <c r="K119" s="478"/>
      <c r="L119" s="487"/>
      <c r="M119" s="478">
        <f t="shared" si="28"/>
        <v>0</v>
      </c>
      <c r="N119" s="487"/>
      <c r="O119" s="478">
        <f t="shared" si="30"/>
        <v>0</v>
      </c>
      <c r="P119" s="478">
        <f t="shared" si="25"/>
        <v>0</v>
      </c>
    </row>
    <row r="120" spans="2:16">
      <c r="B120" s="160" t="str">
        <f t="shared" si="26"/>
        <v/>
      </c>
      <c r="C120" s="472">
        <f>IF(D93="","-",+C119+1)</f>
        <v>2027</v>
      </c>
      <c r="D120" s="347">
        <f>IF(F119+SUM(E$99:E119)=D$92,F119,D$92-SUM(E$99:E119))</f>
        <v>216119</v>
      </c>
      <c r="E120" s="486">
        <f>IF(+J96&lt;F119,J96,D120)</f>
        <v>9457</v>
      </c>
      <c r="F120" s="485">
        <f t="shared" si="41"/>
        <v>206662</v>
      </c>
      <c r="G120" s="485">
        <f t="shared" si="42"/>
        <v>211390.5</v>
      </c>
      <c r="H120" s="486">
        <f t="shared" si="43"/>
        <v>33511.715415317653</v>
      </c>
      <c r="I120" s="542">
        <f t="shared" si="44"/>
        <v>33511.715415317653</v>
      </c>
      <c r="J120" s="478">
        <f t="shared" si="24"/>
        <v>0</v>
      </c>
      <c r="K120" s="478"/>
      <c r="L120" s="487"/>
      <c r="M120" s="478">
        <f t="shared" si="28"/>
        <v>0</v>
      </c>
      <c r="N120" s="487"/>
      <c r="O120" s="478">
        <f t="shared" si="30"/>
        <v>0</v>
      </c>
      <c r="P120" s="478">
        <f t="shared" si="25"/>
        <v>0</v>
      </c>
    </row>
    <row r="121" spans="2:16">
      <c r="B121" s="160" t="str">
        <f t="shared" si="26"/>
        <v/>
      </c>
      <c r="C121" s="472">
        <f>IF(D93="","-",+C120+1)</f>
        <v>2028</v>
      </c>
      <c r="D121" s="347">
        <f>IF(F120+SUM(E$99:E120)=D$92,F120,D$92-SUM(E$99:E120))</f>
        <v>206662</v>
      </c>
      <c r="E121" s="486">
        <f>IF(+J96&lt;F120,J96,D121)</f>
        <v>9457</v>
      </c>
      <c r="F121" s="485">
        <f t="shared" si="41"/>
        <v>197205</v>
      </c>
      <c r="G121" s="485">
        <f t="shared" si="42"/>
        <v>201933.5</v>
      </c>
      <c r="H121" s="486">
        <f t="shared" si="43"/>
        <v>32435.576971619095</v>
      </c>
      <c r="I121" s="542">
        <f t="shared" si="44"/>
        <v>32435.576971619095</v>
      </c>
      <c r="J121" s="478">
        <f t="shared" si="24"/>
        <v>0</v>
      </c>
      <c r="K121" s="478"/>
      <c r="L121" s="487"/>
      <c r="M121" s="478">
        <f t="shared" si="28"/>
        <v>0</v>
      </c>
      <c r="N121" s="487"/>
      <c r="O121" s="478">
        <f t="shared" si="30"/>
        <v>0</v>
      </c>
      <c r="P121" s="478">
        <f t="shared" si="25"/>
        <v>0</v>
      </c>
    </row>
    <row r="122" spans="2:16">
      <c r="B122" s="160" t="str">
        <f t="shared" si="26"/>
        <v/>
      </c>
      <c r="C122" s="472">
        <f>IF(D93="","-",+C121+1)</f>
        <v>2029</v>
      </c>
      <c r="D122" s="347">
        <f>IF(F121+SUM(E$99:E121)=D$92,F121,D$92-SUM(E$99:E121))</f>
        <v>197205</v>
      </c>
      <c r="E122" s="486">
        <f>IF(+J96&lt;F121,J96,D122)</f>
        <v>9457</v>
      </c>
      <c r="F122" s="485">
        <f t="shared" si="41"/>
        <v>187748</v>
      </c>
      <c r="G122" s="485">
        <f t="shared" si="42"/>
        <v>192476.5</v>
      </c>
      <c r="H122" s="486">
        <f t="shared" si="43"/>
        <v>31359.438527920542</v>
      </c>
      <c r="I122" s="542">
        <f t="shared" si="44"/>
        <v>31359.438527920542</v>
      </c>
      <c r="J122" s="478">
        <f t="shared" si="24"/>
        <v>0</v>
      </c>
      <c r="K122" s="478"/>
      <c r="L122" s="487"/>
      <c r="M122" s="478">
        <f t="shared" si="28"/>
        <v>0</v>
      </c>
      <c r="N122" s="487"/>
      <c r="O122" s="478">
        <f t="shared" si="30"/>
        <v>0</v>
      </c>
      <c r="P122" s="478">
        <f t="shared" si="25"/>
        <v>0</v>
      </c>
    </row>
    <row r="123" spans="2:16">
      <c r="B123" s="160" t="str">
        <f t="shared" si="26"/>
        <v/>
      </c>
      <c r="C123" s="472">
        <f>IF(D93="","-",+C122+1)</f>
        <v>2030</v>
      </c>
      <c r="D123" s="347">
        <f>IF(F122+SUM(E$99:E122)=D$92,F122,D$92-SUM(E$99:E122))</f>
        <v>187748</v>
      </c>
      <c r="E123" s="486">
        <f>IF(+J96&lt;F122,J96,D123)</f>
        <v>9457</v>
      </c>
      <c r="F123" s="485">
        <f t="shared" si="41"/>
        <v>178291</v>
      </c>
      <c r="G123" s="485">
        <f t="shared" si="42"/>
        <v>183019.5</v>
      </c>
      <c r="H123" s="486">
        <f t="shared" si="43"/>
        <v>30283.300084221992</v>
      </c>
      <c r="I123" s="542">
        <f t="shared" si="44"/>
        <v>30283.300084221992</v>
      </c>
      <c r="J123" s="478">
        <f t="shared" si="24"/>
        <v>0</v>
      </c>
      <c r="K123" s="478"/>
      <c r="L123" s="487"/>
      <c r="M123" s="478">
        <f t="shared" si="28"/>
        <v>0</v>
      </c>
      <c r="N123" s="487"/>
      <c r="O123" s="478">
        <f t="shared" si="30"/>
        <v>0</v>
      </c>
      <c r="P123" s="478">
        <f t="shared" si="25"/>
        <v>0</v>
      </c>
    </row>
    <row r="124" spans="2:16">
      <c r="B124" s="160" t="str">
        <f t="shared" si="26"/>
        <v/>
      </c>
      <c r="C124" s="472">
        <f>IF(D93="","-",+C123+1)</f>
        <v>2031</v>
      </c>
      <c r="D124" s="347">
        <f>IF(F123+SUM(E$99:E123)=D$92,F123,D$92-SUM(E$99:E123))</f>
        <v>178291</v>
      </c>
      <c r="E124" s="486">
        <f>IF(+J96&lt;F123,J96,D124)</f>
        <v>9457</v>
      </c>
      <c r="F124" s="485">
        <f t="shared" si="41"/>
        <v>168834</v>
      </c>
      <c r="G124" s="485">
        <f t="shared" si="42"/>
        <v>173562.5</v>
      </c>
      <c r="H124" s="486">
        <f t="shared" si="43"/>
        <v>29207.161640523438</v>
      </c>
      <c r="I124" s="542">
        <f t="shared" si="44"/>
        <v>29207.161640523438</v>
      </c>
      <c r="J124" s="478">
        <f t="shared" si="24"/>
        <v>0</v>
      </c>
      <c r="K124" s="478"/>
      <c r="L124" s="487"/>
      <c r="M124" s="478">
        <f t="shared" si="28"/>
        <v>0</v>
      </c>
      <c r="N124" s="487"/>
      <c r="O124" s="478">
        <f t="shared" si="30"/>
        <v>0</v>
      </c>
      <c r="P124" s="478">
        <f t="shared" si="25"/>
        <v>0</v>
      </c>
    </row>
    <row r="125" spans="2:16">
      <c r="B125" s="160" t="str">
        <f t="shared" si="26"/>
        <v/>
      </c>
      <c r="C125" s="472">
        <f>IF(D93="","-",+C124+1)</f>
        <v>2032</v>
      </c>
      <c r="D125" s="347">
        <f>IF(F124+SUM(E$99:E124)=D$92,F124,D$92-SUM(E$99:E124))</f>
        <v>168834</v>
      </c>
      <c r="E125" s="486">
        <f>IF(+J96&lt;F124,J96,D125)</f>
        <v>9457</v>
      </c>
      <c r="F125" s="485">
        <f t="shared" si="41"/>
        <v>159377</v>
      </c>
      <c r="G125" s="485">
        <f t="shared" si="42"/>
        <v>164105.5</v>
      </c>
      <c r="H125" s="486">
        <f t="shared" si="43"/>
        <v>28131.023196824885</v>
      </c>
      <c r="I125" s="542">
        <f t="shared" si="44"/>
        <v>28131.023196824885</v>
      </c>
      <c r="J125" s="478">
        <f t="shared" si="24"/>
        <v>0</v>
      </c>
      <c r="K125" s="478"/>
      <c r="L125" s="487"/>
      <c r="M125" s="478">
        <f t="shared" si="28"/>
        <v>0</v>
      </c>
      <c r="N125" s="487"/>
      <c r="O125" s="478">
        <f t="shared" si="30"/>
        <v>0</v>
      </c>
      <c r="P125" s="478">
        <f t="shared" si="25"/>
        <v>0</v>
      </c>
    </row>
    <row r="126" spans="2:16">
      <c r="B126" s="160" t="str">
        <f t="shared" si="26"/>
        <v/>
      </c>
      <c r="C126" s="472">
        <f>IF(D93="","-",+C125+1)</f>
        <v>2033</v>
      </c>
      <c r="D126" s="347">
        <f>IF(F125+SUM(E$99:E125)=D$92,F125,D$92-SUM(E$99:E125))</f>
        <v>159377</v>
      </c>
      <c r="E126" s="486">
        <f>IF(+J96&lt;F125,J96,D126)</f>
        <v>9457</v>
      </c>
      <c r="F126" s="485">
        <f t="shared" si="41"/>
        <v>149920</v>
      </c>
      <c r="G126" s="485">
        <f t="shared" si="42"/>
        <v>154648.5</v>
      </c>
      <c r="H126" s="486">
        <f t="shared" si="43"/>
        <v>27054.884753126331</v>
      </c>
      <c r="I126" s="542">
        <f t="shared" si="44"/>
        <v>27054.884753126331</v>
      </c>
      <c r="J126" s="478">
        <f t="shared" si="24"/>
        <v>0</v>
      </c>
      <c r="K126" s="478"/>
      <c r="L126" s="487"/>
      <c r="M126" s="478">
        <f t="shared" si="28"/>
        <v>0</v>
      </c>
      <c r="N126" s="487"/>
      <c r="O126" s="478">
        <f t="shared" si="30"/>
        <v>0</v>
      </c>
      <c r="P126" s="478">
        <f t="shared" si="25"/>
        <v>0</v>
      </c>
    </row>
    <row r="127" spans="2:16">
      <c r="B127" s="160" t="str">
        <f t="shared" si="26"/>
        <v/>
      </c>
      <c r="C127" s="472">
        <f>IF(D93="","-",+C126+1)</f>
        <v>2034</v>
      </c>
      <c r="D127" s="347">
        <f>IF(F126+SUM(E$99:E126)=D$92,F126,D$92-SUM(E$99:E126))</f>
        <v>149920</v>
      </c>
      <c r="E127" s="486">
        <f>IF(+J96&lt;F126,J96,D127)</f>
        <v>9457</v>
      </c>
      <c r="F127" s="485">
        <f t="shared" si="41"/>
        <v>140463</v>
      </c>
      <c r="G127" s="485">
        <f t="shared" si="42"/>
        <v>145191.5</v>
      </c>
      <c r="H127" s="486">
        <f t="shared" si="43"/>
        <v>25978.746309427777</v>
      </c>
      <c r="I127" s="542">
        <f t="shared" si="44"/>
        <v>25978.746309427777</v>
      </c>
      <c r="J127" s="478">
        <f t="shared" si="24"/>
        <v>0</v>
      </c>
      <c r="K127" s="478"/>
      <c r="L127" s="487"/>
      <c r="M127" s="478">
        <f t="shared" si="28"/>
        <v>0</v>
      </c>
      <c r="N127" s="487"/>
      <c r="O127" s="478">
        <f t="shared" si="30"/>
        <v>0</v>
      </c>
      <c r="P127" s="478">
        <f t="shared" si="25"/>
        <v>0</v>
      </c>
    </row>
    <row r="128" spans="2:16">
      <c r="B128" s="160" t="str">
        <f t="shared" si="26"/>
        <v/>
      </c>
      <c r="C128" s="472">
        <f>IF(D93="","-",+C127+1)</f>
        <v>2035</v>
      </c>
      <c r="D128" s="347">
        <f>IF(F127+SUM(E$99:E127)=D$92,F127,D$92-SUM(E$99:E127))</f>
        <v>140463</v>
      </c>
      <c r="E128" s="486">
        <f>IF(+J96&lt;F127,J96,D128)</f>
        <v>9457</v>
      </c>
      <c r="F128" s="485">
        <f t="shared" si="41"/>
        <v>131006</v>
      </c>
      <c r="G128" s="485">
        <f t="shared" si="42"/>
        <v>135734.5</v>
      </c>
      <c r="H128" s="486">
        <f t="shared" si="43"/>
        <v>24902.607865729224</v>
      </c>
      <c r="I128" s="542">
        <f t="shared" si="44"/>
        <v>24902.607865729224</v>
      </c>
      <c r="J128" s="478">
        <f t="shared" si="24"/>
        <v>0</v>
      </c>
      <c r="K128" s="478"/>
      <c r="L128" s="487"/>
      <c r="M128" s="478">
        <f t="shared" si="28"/>
        <v>0</v>
      </c>
      <c r="N128" s="487"/>
      <c r="O128" s="478">
        <f t="shared" si="30"/>
        <v>0</v>
      </c>
      <c r="P128" s="478">
        <f t="shared" si="25"/>
        <v>0</v>
      </c>
    </row>
    <row r="129" spans="2:16">
      <c r="B129" s="160" t="str">
        <f t="shared" si="26"/>
        <v/>
      </c>
      <c r="C129" s="472">
        <f>IF(D93="","-",+C128+1)</f>
        <v>2036</v>
      </c>
      <c r="D129" s="347">
        <f>IF(F128+SUM(E$99:E128)=D$92,F128,D$92-SUM(E$99:E128))</f>
        <v>131006</v>
      </c>
      <c r="E129" s="486">
        <f>IF(+J96&lt;F128,J96,D129)</f>
        <v>9457</v>
      </c>
      <c r="F129" s="485">
        <f t="shared" si="41"/>
        <v>121549</v>
      </c>
      <c r="G129" s="485">
        <f t="shared" si="42"/>
        <v>126277.5</v>
      </c>
      <c r="H129" s="486">
        <f t="shared" si="43"/>
        <v>23826.46942203067</v>
      </c>
      <c r="I129" s="542">
        <f t="shared" si="44"/>
        <v>23826.46942203067</v>
      </c>
      <c r="J129" s="478">
        <f t="shared" si="24"/>
        <v>0</v>
      </c>
      <c r="K129" s="478"/>
      <c r="L129" s="487"/>
      <c r="M129" s="478">
        <f t="shared" si="28"/>
        <v>0</v>
      </c>
      <c r="N129" s="487"/>
      <c r="O129" s="478">
        <f t="shared" si="30"/>
        <v>0</v>
      </c>
      <c r="P129" s="478">
        <f t="shared" si="25"/>
        <v>0</v>
      </c>
    </row>
    <row r="130" spans="2:16">
      <c r="B130" s="160" t="str">
        <f t="shared" si="26"/>
        <v/>
      </c>
      <c r="C130" s="472">
        <f>IF(D93="","-",+C129+1)</f>
        <v>2037</v>
      </c>
      <c r="D130" s="347">
        <f>IF(F129+SUM(E$99:E129)=D$92,F129,D$92-SUM(E$99:E129))</f>
        <v>121549</v>
      </c>
      <c r="E130" s="486">
        <f>IF(+J96&lt;F129,J96,D130)</f>
        <v>9457</v>
      </c>
      <c r="F130" s="485">
        <f t="shared" si="41"/>
        <v>112092</v>
      </c>
      <c r="G130" s="485">
        <f t="shared" si="42"/>
        <v>116820.5</v>
      </c>
      <c r="H130" s="486">
        <f t="shared" si="43"/>
        <v>22750.330978332117</v>
      </c>
      <c r="I130" s="542">
        <f t="shared" si="44"/>
        <v>22750.330978332117</v>
      </c>
      <c r="J130" s="478">
        <f t="shared" si="24"/>
        <v>0</v>
      </c>
      <c r="K130" s="478"/>
      <c r="L130" s="487"/>
      <c r="M130" s="478">
        <f t="shared" si="28"/>
        <v>0</v>
      </c>
      <c r="N130" s="487"/>
      <c r="O130" s="478">
        <f t="shared" si="30"/>
        <v>0</v>
      </c>
      <c r="P130" s="478">
        <f t="shared" si="25"/>
        <v>0</v>
      </c>
    </row>
    <row r="131" spans="2:16">
      <c r="B131" s="160" t="str">
        <f t="shared" si="26"/>
        <v/>
      </c>
      <c r="C131" s="472">
        <f>IF(D93="","-",+C130+1)</f>
        <v>2038</v>
      </c>
      <c r="D131" s="347">
        <f>IF(F130+SUM(E$99:E130)=D$92,F130,D$92-SUM(E$99:E130))</f>
        <v>112092</v>
      </c>
      <c r="E131" s="486">
        <f>IF(+J96&lt;F130,J96,D131)</f>
        <v>9457</v>
      </c>
      <c r="F131" s="485">
        <f t="shared" ref="F131:F154" si="45">+D131-E131</f>
        <v>102635</v>
      </c>
      <c r="G131" s="485">
        <f t="shared" ref="G131:G154" si="46">+(F131+D131)/2</f>
        <v>107363.5</v>
      </c>
      <c r="H131" s="486">
        <f t="shared" si="43"/>
        <v>21674.192534633563</v>
      </c>
      <c r="I131" s="542">
        <f t="shared" si="44"/>
        <v>21674.192534633563</v>
      </c>
      <c r="J131" s="478">
        <f t="shared" ref="J131:J154" si="47">+I131-H131</f>
        <v>0</v>
      </c>
      <c r="K131" s="478"/>
      <c r="L131" s="487"/>
      <c r="M131" s="478">
        <f t="shared" si="28"/>
        <v>0</v>
      </c>
      <c r="N131" s="487"/>
      <c r="O131" s="478">
        <f t="shared" si="30"/>
        <v>0</v>
      </c>
      <c r="P131" s="478">
        <f t="shared" ref="P131:P154" si="48">+O131-M131</f>
        <v>0</v>
      </c>
    </row>
    <row r="132" spans="2:16">
      <c r="B132" s="160" t="str">
        <f t="shared" si="26"/>
        <v/>
      </c>
      <c r="C132" s="472">
        <f>IF(D93="","-",+C131+1)</f>
        <v>2039</v>
      </c>
      <c r="D132" s="347">
        <f>IF(F131+SUM(E$99:E131)=D$92,F131,D$92-SUM(E$99:E131))</f>
        <v>102635</v>
      </c>
      <c r="E132" s="486">
        <f>IF(+J96&lt;F131,J96,D132)</f>
        <v>9457</v>
      </c>
      <c r="F132" s="485">
        <f t="shared" si="45"/>
        <v>93178</v>
      </c>
      <c r="G132" s="485">
        <f t="shared" si="46"/>
        <v>97906.5</v>
      </c>
      <c r="H132" s="486">
        <f t="shared" si="43"/>
        <v>20598.054090935009</v>
      </c>
      <c r="I132" s="542">
        <f t="shared" si="44"/>
        <v>20598.054090935009</v>
      </c>
      <c r="J132" s="478">
        <f t="shared" si="47"/>
        <v>0</v>
      </c>
      <c r="K132" s="478"/>
      <c r="L132" s="487"/>
      <c r="M132" s="478">
        <f t="shared" si="28"/>
        <v>0</v>
      </c>
      <c r="N132" s="487"/>
      <c r="O132" s="478">
        <f t="shared" si="30"/>
        <v>0</v>
      </c>
      <c r="P132" s="478">
        <f t="shared" si="48"/>
        <v>0</v>
      </c>
    </row>
    <row r="133" spans="2:16">
      <c r="B133" s="160" t="str">
        <f t="shared" si="26"/>
        <v/>
      </c>
      <c r="C133" s="472">
        <f>IF(D93="","-",+C132+1)</f>
        <v>2040</v>
      </c>
      <c r="D133" s="347">
        <f>IF(F132+SUM(E$99:E132)=D$92,F132,D$92-SUM(E$99:E132))</f>
        <v>93178</v>
      </c>
      <c r="E133" s="486">
        <f>IF(+J96&lt;F132,J96,D133)</f>
        <v>9457</v>
      </c>
      <c r="F133" s="485">
        <f t="shared" si="45"/>
        <v>83721</v>
      </c>
      <c r="G133" s="485">
        <f t="shared" si="46"/>
        <v>88449.5</v>
      </c>
      <c r="H133" s="486">
        <f t="shared" si="43"/>
        <v>19521.915647236456</v>
      </c>
      <c r="I133" s="542">
        <f t="shared" si="44"/>
        <v>19521.915647236456</v>
      </c>
      <c r="J133" s="478">
        <f t="shared" si="47"/>
        <v>0</v>
      </c>
      <c r="K133" s="478"/>
      <c r="L133" s="487"/>
      <c r="M133" s="478">
        <f t="shared" si="28"/>
        <v>0</v>
      </c>
      <c r="N133" s="487"/>
      <c r="O133" s="478">
        <f t="shared" si="30"/>
        <v>0</v>
      </c>
      <c r="P133" s="478">
        <f t="shared" si="48"/>
        <v>0</v>
      </c>
    </row>
    <row r="134" spans="2:16">
      <c r="B134" s="160" t="str">
        <f t="shared" si="26"/>
        <v/>
      </c>
      <c r="C134" s="472">
        <f>IF(D93="","-",+C133+1)</f>
        <v>2041</v>
      </c>
      <c r="D134" s="347">
        <f>IF(F133+SUM(E$99:E133)=D$92,F133,D$92-SUM(E$99:E133))</f>
        <v>83721</v>
      </c>
      <c r="E134" s="486">
        <f>IF(+J96&lt;F133,J96,D134)</f>
        <v>9457</v>
      </c>
      <c r="F134" s="485">
        <f t="shared" si="45"/>
        <v>74264</v>
      </c>
      <c r="G134" s="485">
        <f t="shared" si="46"/>
        <v>78992.5</v>
      </c>
      <c r="H134" s="486">
        <f t="shared" si="43"/>
        <v>18445.777203537902</v>
      </c>
      <c r="I134" s="542">
        <f t="shared" si="44"/>
        <v>18445.777203537902</v>
      </c>
      <c r="J134" s="478">
        <f t="shared" si="47"/>
        <v>0</v>
      </c>
      <c r="K134" s="478"/>
      <c r="L134" s="487"/>
      <c r="M134" s="478">
        <f t="shared" ref="M134:M154" si="49">IF(L134&lt;&gt;0,+H134-L134,0)</f>
        <v>0</v>
      </c>
      <c r="N134" s="487"/>
      <c r="O134" s="478">
        <f t="shared" ref="O134:O154" si="50">IF(N134&lt;&gt;0,+I134-N134,0)</f>
        <v>0</v>
      </c>
      <c r="P134" s="478">
        <f t="shared" si="48"/>
        <v>0</v>
      </c>
    </row>
    <row r="135" spans="2:16">
      <c r="B135" s="160" t="str">
        <f t="shared" si="26"/>
        <v/>
      </c>
      <c r="C135" s="472">
        <f>IF(D93="","-",+C134+1)</f>
        <v>2042</v>
      </c>
      <c r="D135" s="347">
        <f>IF(F134+SUM(E$99:E134)=D$92,F134,D$92-SUM(E$99:E134))</f>
        <v>74264</v>
      </c>
      <c r="E135" s="486">
        <f>IF(+J96&lt;F134,J96,D135)</f>
        <v>9457</v>
      </c>
      <c r="F135" s="485">
        <f t="shared" si="45"/>
        <v>64807</v>
      </c>
      <c r="G135" s="485">
        <f t="shared" si="46"/>
        <v>69535.5</v>
      </c>
      <c r="H135" s="486">
        <f t="shared" si="43"/>
        <v>17369.638759839352</v>
      </c>
      <c r="I135" s="542">
        <f t="shared" si="44"/>
        <v>17369.638759839352</v>
      </c>
      <c r="J135" s="478">
        <f t="shared" si="47"/>
        <v>0</v>
      </c>
      <c r="K135" s="478"/>
      <c r="L135" s="487"/>
      <c r="M135" s="478">
        <f t="shared" si="49"/>
        <v>0</v>
      </c>
      <c r="N135" s="487"/>
      <c r="O135" s="478">
        <f t="shared" si="50"/>
        <v>0</v>
      </c>
      <c r="P135" s="478">
        <f t="shared" si="48"/>
        <v>0</v>
      </c>
    </row>
    <row r="136" spans="2:16">
      <c r="B136" s="160" t="str">
        <f t="shared" si="26"/>
        <v/>
      </c>
      <c r="C136" s="472">
        <f>IF(D93="","-",+C135+1)</f>
        <v>2043</v>
      </c>
      <c r="D136" s="347">
        <f>IF(F135+SUM(E$99:E135)=D$92,F135,D$92-SUM(E$99:E135))</f>
        <v>64807</v>
      </c>
      <c r="E136" s="486">
        <f>IF(+J96&lt;F135,J96,D136)</f>
        <v>9457</v>
      </c>
      <c r="F136" s="485">
        <f t="shared" si="45"/>
        <v>55350</v>
      </c>
      <c r="G136" s="485">
        <f t="shared" si="46"/>
        <v>60078.5</v>
      </c>
      <c r="H136" s="486">
        <f t="shared" si="43"/>
        <v>16293.500316140799</v>
      </c>
      <c r="I136" s="542">
        <f t="shared" si="44"/>
        <v>16293.500316140799</v>
      </c>
      <c r="J136" s="478">
        <f t="shared" si="47"/>
        <v>0</v>
      </c>
      <c r="K136" s="478"/>
      <c r="L136" s="487"/>
      <c r="M136" s="478">
        <f t="shared" si="49"/>
        <v>0</v>
      </c>
      <c r="N136" s="487"/>
      <c r="O136" s="478">
        <f t="shared" si="50"/>
        <v>0</v>
      </c>
      <c r="P136" s="478">
        <f t="shared" si="48"/>
        <v>0</v>
      </c>
    </row>
    <row r="137" spans="2:16">
      <c r="B137" s="160" t="str">
        <f t="shared" si="26"/>
        <v/>
      </c>
      <c r="C137" s="472">
        <f>IF(D93="","-",+C136+1)</f>
        <v>2044</v>
      </c>
      <c r="D137" s="347">
        <f>IF(F136+SUM(E$99:E136)=D$92,F136,D$92-SUM(E$99:E136))</f>
        <v>55350</v>
      </c>
      <c r="E137" s="486">
        <f>IF(+J96&lt;F136,J96,D137)</f>
        <v>9457</v>
      </c>
      <c r="F137" s="485">
        <f t="shared" si="45"/>
        <v>45893</v>
      </c>
      <c r="G137" s="485">
        <f t="shared" si="46"/>
        <v>50621.5</v>
      </c>
      <c r="H137" s="486">
        <f t="shared" si="43"/>
        <v>15217.361872442245</v>
      </c>
      <c r="I137" s="542">
        <f t="shared" si="44"/>
        <v>15217.361872442245</v>
      </c>
      <c r="J137" s="478">
        <f t="shared" si="47"/>
        <v>0</v>
      </c>
      <c r="K137" s="478"/>
      <c r="L137" s="487"/>
      <c r="M137" s="478">
        <f t="shared" si="49"/>
        <v>0</v>
      </c>
      <c r="N137" s="487"/>
      <c r="O137" s="478">
        <f t="shared" si="50"/>
        <v>0</v>
      </c>
      <c r="P137" s="478">
        <f t="shared" si="48"/>
        <v>0</v>
      </c>
    </row>
    <row r="138" spans="2:16">
      <c r="B138" s="160" t="str">
        <f t="shared" si="26"/>
        <v/>
      </c>
      <c r="C138" s="472">
        <f>IF(D93="","-",+C137+1)</f>
        <v>2045</v>
      </c>
      <c r="D138" s="347">
        <f>IF(F137+SUM(E$99:E137)=D$92,F137,D$92-SUM(E$99:E137))</f>
        <v>45893</v>
      </c>
      <c r="E138" s="486">
        <f>IF(+J96&lt;F137,J96,D138)</f>
        <v>9457</v>
      </c>
      <c r="F138" s="485">
        <f t="shared" si="45"/>
        <v>36436</v>
      </c>
      <c r="G138" s="485">
        <f t="shared" si="46"/>
        <v>41164.5</v>
      </c>
      <c r="H138" s="486">
        <f t="shared" si="43"/>
        <v>14141.223428743691</v>
      </c>
      <c r="I138" s="542">
        <f t="shared" si="44"/>
        <v>14141.223428743691</v>
      </c>
      <c r="J138" s="478">
        <f t="shared" si="47"/>
        <v>0</v>
      </c>
      <c r="K138" s="478"/>
      <c r="L138" s="487"/>
      <c r="M138" s="478">
        <f t="shared" si="49"/>
        <v>0</v>
      </c>
      <c r="N138" s="487"/>
      <c r="O138" s="478">
        <f t="shared" si="50"/>
        <v>0</v>
      </c>
      <c r="P138" s="478">
        <f t="shared" si="48"/>
        <v>0</v>
      </c>
    </row>
    <row r="139" spans="2:16">
      <c r="B139" s="160" t="str">
        <f t="shared" si="26"/>
        <v/>
      </c>
      <c r="C139" s="472">
        <f>IF(D93="","-",+C138+1)</f>
        <v>2046</v>
      </c>
      <c r="D139" s="347">
        <f>IF(F138+SUM(E$99:E138)=D$92,F138,D$92-SUM(E$99:E138))</f>
        <v>36436</v>
      </c>
      <c r="E139" s="486">
        <f>IF(+J96&lt;F138,J96,D139)</f>
        <v>9457</v>
      </c>
      <c r="F139" s="485">
        <f t="shared" si="45"/>
        <v>26979</v>
      </c>
      <c r="G139" s="485">
        <f t="shared" si="46"/>
        <v>31707.5</v>
      </c>
      <c r="H139" s="486">
        <f t="shared" si="43"/>
        <v>13065.084985045138</v>
      </c>
      <c r="I139" s="542">
        <f t="shared" si="44"/>
        <v>13065.084985045138</v>
      </c>
      <c r="J139" s="478">
        <f t="shared" si="47"/>
        <v>0</v>
      </c>
      <c r="K139" s="478"/>
      <c r="L139" s="487"/>
      <c r="M139" s="478">
        <f t="shared" si="49"/>
        <v>0</v>
      </c>
      <c r="N139" s="487"/>
      <c r="O139" s="478">
        <f t="shared" si="50"/>
        <v>0</v>
      </c>
      <c r="P139" s="478">
        <f t="shared" si="48"/>
        <v>0</v>
      </c>
    </row>
    <row r="140" spans="2:16">
      <c r="B140" s="160" t="str">
        <f t="shared" si="26"/>
        <v/>
      </c>
      <c r="C140" s="472">
        <f>IF(D93="","-",+C139+1)</f>
        <v>2047</v>
      </c>
      <c r="D140" s="347">
        <f>IF(F139+SUM(E$99:E139)=D$92,F139,D$92-SUM(E$99:E139))</f>
        <v>26979</v>
      </c>
      <c r="E140" s="486">
        <f>IF(+J96&lt;F139,J96,D140)</f>
        <v>9457</v>
      </c>
      <c r="F140" s="485">
        <f t="shared" si="45"/>
        <v>17522</v>
      </c>
      <c r="G140" s="485">
        <f t="shared" si="46"/>
        <v>22250.5</v>
      </c>
      <c r="H140" s="486">
        <f t="shared" si="43"/>
        <v>11988.946541346586</v>
      </c>
      <c r="I140" s="542">
        <f t="shared" si="44"/>
        <v>11988.946541346586</v>
      </c>
      <c r="J140" s="478">
        <f t="shared" si="47"/>
        <v>0</v>
      </c>
      <c r="K140" s="478"/>
      <c r="L140" s="487"/>
      <c r="M140" s="478">
        <f t="shared" si="49"/>
        <v>0</v>
      </c>
      <c r="N140" s="487"/>
      <c r="O140" s="478">
        <f t="shared" si="50"/>
        <v>0</v>
      </c>
      <c r="P140" s="478">
        <f t="shared" si="48"/>
        <v>0</v>
      </c>
    </row>
    <row r="141" spans="2:16">
      <c r="B141" s="160" t="str">
        <f t="shared" si="26"/>
        <v/>
      </c>
      <c r="C141" s="472">
        <f>IF(D93="","-",+C140+1)</f>
        <v>2048</v>
      </c>
      <c r="D141" s="347">
        <f>IF(F140+SUM(E$99:E140)=D$92,F140,D$92-SUM(E$99:E140))</f>
        <v>17522</v>
      </c>
      <c r="E141" s="486">
        <f>IF(+J96&lt;F140,J96,D141)</f>
        <v>9457</v>
      </c>
      <c r="F141" s="485">
        <f t="shared" si="45"/>
        <v>8065</v>
      </c>
      <c r="G141" s="485">
        <f t="shared" si="46"/>
        <v>12793.5</v>
      </c>
      <c r="H141" s="486">
        <f t="shared" si="43"/>
        <v>10912.808097648032</v>
      </c>
      <c r="I141" s="542">
        <f t="shared" si="44"/>
        <v>10912.808097648032</v>
      </c>
      <c r="J141" s="478">
        <f t="shared" si="47"/>
        <v>0</v>
      </c>
      <c r="K141" s="478"/>
      <c r="L141" s="487"/>
      <c r="M141" s="478">
        <f t="shared" si="49"/>
        <v>0</v>
      </c>
      <c r="N141" s="487"/>
      <c r="O141" s="478">
        <f t="shared" si="50"/>
        <v>0</v>
      </c>
      <c r="P141" s="478">
        <f t="shared" si="48"/>
        <v>0</v>
      </c>
    </row>
    <row r="142" spans="2:16">
      <c r="B142" s="160" t="str">
        <f t="shared" si="26"/>
        <v/>
      </c>
      <c r="C142" s="472">
        <f>IF(D93="","-",+C141+1)</f>
        <v>2049</v>
      </c>
      <c r="D142" s="347">
        <f>IF(F141+SUM(E$99:E141)=D$92,F141,D$92-SUM(E$99:E141))</f>
        <v>8065</v>
      </c>
      <c r="E142" s="486">
        <f>IF(+J96&lt;F141,J96,D142)</f>
        <v>8065</v>
      </c>
      <c r="F142" s="485">
        <f t="shared" si="45"/>
        <v>0</v>
      </c>
      <c r="G142" s="485">
        <f t="shared" si="46"/>
        <v>4032.5</v>
      </c>
      <c r="H142" s="486">
        <f t="shared" si="43"/>
        <v>8523.8694378993787</v>
      </c>
      <c r="I142" s="542">
        <f t="shared" si="44"/>
        <v>8523.8694378993787</v>
      </c>
      <c r="J142" s="478">
        <f t="shared" si="47"/>
        <v>0</v>
      </c>
      <c r="K142" s="478"/>
      <c r="L142" s="487"/>
      <c r="M142" s="478">
        <f t="shared" si="49"/>
        <v>0</v>
      </c>
      <c r="N142" s="487"/>
      <c r="O142" s="478">
        <f t="shared" si="50"/>
        <v>0</v>
      </c>
      <c r="P142" s="478">
        <f t="shared" si="48"/>
        <v>0</v>
      </c>
    </row>
    <row r="143" spans="2:16">
      <c r="B143" s="160" t="str">
        <f t="shared" si="26"/>
        <v/>
      </c>
      <c r="C143" s="472">
        <f>IF(D93="","-",+C142+1)</f>
        <v>2050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45"/>
        <v>0</v>
      </c>
      <c r="G143" s="485">
        <f t="shared" si="46"/>
        <v>0</v>
      </c>
      <c r="H143" s="486">
        <f t="shared" si="43"/>
        <v>0</v>
      </c>
      <c r="I143" s="542">
        <f t="shared" si="44"/>
        <v>0</v>
      </c>
      <c r="J143" s="478">
        <f t="shared" si="47"/>
        <v>0</v>
      </c>
      <c r="K143" s="478"/>
      <c r="L143" s="487"/>
      <c r="M143" s="478">
        <f t="shared" si="49"/>
        <v>0</v>
      </c>
      <c r="N143" s="487"/>
      <c r="O143" s="478">
        <f t="shared" si="50"/>
        <v>0</v>
      </c>
      <c r="P143" s="478">
        <f t="shared" si="48"/>
        <v>0</v>
      </c>
    </row>
    <row r="144" spans="2:16">
      <c r="B144" s="160" t="str">
        <f t="shared" si="26"/>
        <v/>
      </c>
      <c r="C144" s="472">
        <f>IF(D93="","-",+C143+1)</f>
        <v>2051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45"/>
        <v>0</v>
      </c>
      <c r="G144" s="485">
        <f t="shared" si="46"/>
        <v>0</v>
      </c>
      <c r="H144" s="486">
        <f t="shared" si="43"/>
        <v>0</v>
      </c>
      <c r="I144" s="542">
        <f t="shared" si="44"/>
        <v>0</v>
      </c>
      <c r="J144" s="478">
        <f t="shared" si="47"/>
        <v>0</v>
      </c>
      <c r="K144" s="478"/>
      <c r="L144" s="487"/>
      <c r="M144" s="478">
        <f t="shared" si="49"/>
        <v>0</v>
      </c>
      <c r="N144" s="487"/>
      <c r="O144" s="478">
        <f t="shared" si="50"/>
        <v>0</v>
      </c>
      <c r="P144" s="478">
        <f t="shared" si="48"/>
        <v>0</v>
      </c>
    </row>
    <row r="145" spans="2:16">
      <c r="B145" s="160" t="str">
        <f t="shared" si="26"/>
        <v/>
      </c>
      <c r="C145" s="472">
        <f>IF(D93="","-",+C144+1)</f>
        <v>2052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45"/>
        <v>0</v>
      </c>
      <c r="G145" s="485">
        <f t="shared" si="46"/>
        <v>0</v>
      </c>
      <c r="H145" s="486">
        <f t="shared" si="43"/>
        <v>0</v>
      </c>
      <c r="I145" s="542">
        <f t="shared" si="44"/>
        <v>0</v>
      </c>
      <c r="J145" s="478">
        <f t="shared" si="47"/>
        <v>0</v>
      </c>
      <c r="K145" s="478"/>
      <c r="L145" s="487"/>
      <c r="M145" s="478">
        <f t="shared" si="49"/>
        <v>0</v>
      </c>
      <c r="N145" s="487"/>
      <c r="O145" s="478">
        <f t="shared" si="50"/>
        <v>0</v>
      </c>
      <c r="P145" s="478">
        <f t="shared" si="48"/>
        <v>0</v>
      </c>
    </row>
    <row r="146" spans="2:16">
      <c r="B146" s="160" t="str">
        <f t="shared" si="26"/>
        <v/>
      </c>
      <c r="C146" s="472">
        <f>IF(D93="","-",+C145+1)</f>
        <v>2053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45"/>
        <v>0</v>
      </c>
      <c r="G146" s="485">
        <f t="shared" si="46"/>
        <v>0</v>
      </c>
      <c r="H146" s="486">
        <f t="shared" si="43"/>
        <v>0</v>
      </c>
      <c r="I146" s="542">
        <f t="shared" si="44"/>
        <v>0</v>
      </c>
      <c r="J146" s="478">
        <f t="shared" si="47"/>
        <v>0</v>
      </c>
      <c r="K146" s="478"/>
      <c r="L146" s="487"/>
      <c r="M146" s="478">
        <f t="shared" si="49"/>
        <v>0</v>
      </c>
      <c r="N146" s="487"/>
      <c r="O146" s="478">
        <f t="shared" si="50"/>
        <v>0</v>
      </c>
      <c r="P146" s="478">
        <f t="shared" si="48"/>
        <v>0</v>
      </c>
    </row>
    <row r="147" spans="2:16">
      <c r="B147" s="160" t="str">
        <f t="shared" si="26"/>
        <v/>
      </c>
      <c r="C147" s="472">
        <f>IF(D93="","-",+C146+1)</f>
        <v>2054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45"/>
        <v>0</v>
      </c>
      <c r="G147" s="485">
        <f t="shared" si="46"/>
        <v>0</v>
      </c>
      <c r="H147" s="486">
        <f t="shared" si="43"/>
        <v>0</v>
      </c>
      <c r="I147" s="542">
        <f t="shared" si="44"/>
        <v>0</v>
      </c>
      <c r="J147" s="478">
        <f t="shared" si="47"/>
        <v>0</v>
      </c>
      <c r="K147" s="478"/>
      <c r="L147" s="487"/>
      <c r="M147" s="478">
        <f t="shared" si="49"/>
        <v>0</v>
      </c>
      <c r="N147" s="487"/>
      <c r="O147" s="478">
        <f t="shared" si="50"/>
        <v>0</v>
      </c>
      <c r="P147" s="478">
        <f t="shared" si="48"/>
        <v>0</v>
      </c>
    </row>
    <row r="148" spans="2:16">
      <c r="B148" s="160" t="str">
        <f t="shared" si="26"/>
        <v/>
      </c>
      <c r="C148" s="472">
        <f>IF(D93="","-",+C147+1)</f>
        <v>2055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45"/>
        <v>0</v>
      </c>
      <c r="G148" s="485">
        <f t="shared" si="46"/>
        <v>0</v>
      </c>
      <c r="H148" s="486">
        <f t="shared" si="43"/>
        <v>0</v>
      </c>
      <c r="I148" s="542">
        <f t="shared" si="44"/>
        <v>0</v>
      </c>
      <c r="J148" s="478">
        <f t="shared" si="47"/>
        <v>0</v>
      </c>
      <c r="K148" s="478"/>
      <c r="L148" s="487"/>
      <c r="M148" s="478">
        <f t="shared" si="49"/>
        <v>0</v>
      </c>
      <c r="N148" s="487"/>
      <c r="O148" s="478">
        <f t="shared" si="50"/>
        <v>0</v>
      </c>
      <c r="P148" s="478">
        <f t="shared" si="48"/>
        <v>0</v>
      </c>
    </row>
    <row r="149" spans="2:16">
      <c r="B149" s="160" t="str">
        <f t="shared" si="26"/>
        <v/>
      </c>
      <c r="C149" s="472">
        <f>IF(D93="","-",+C148+1)</f>
        <v>2056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45"/>
        <v>0</v>
      </c>
      <c r="G149" s="485">
        <f t="shared" si="46"/>
        <v>0</v>
      </c>
      <c r="H149" s="486">
        <f t="shared" si="43"/>
        <v>0</v>
      </c>
      <c r="I149" s="542">
        <f t="shared" si="44"/>
        <v>0</v>
      </c>
      <c r="J149" s="478">
        <f t="shared" si="47"/>
        <v>0</v>
      </c>
      <c r="K149" s="478"/>
      <c r="L149" s="487"/>
      <c r="M149" s="478">
        <f t="shared" si="49"/>
        <v>0</v>
      </c>
      <c r="N149" s="487"/>
      <c r="O149" s="478">
        <f t="shared" si="50"/>
        <v>0</v>
      </c>
      <c r="P149" s="478">
        <f t="shared" si="48"/>
        <v>0</v>
      </c>
    </row>
    <row r="150" spans="2:16">
      <c r="B150" s="160" t="str">
        <f t="shared" si="26"/>
        <v/>
      </c>
      <c r="C150" s="472">
        <f>IF(D93="","-",+C149+1)</f>
        <v>2057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45"/>
        <v>0</v>
      </c>
      <c r="G150" s="485">
        <f t="shared" si="46"/>
        <v>0</v>
      </c>
      <c r="H150" s="486">
        <f t="shared" si="43"/>
        <v>0</v>
      </c>
      <c r="I150" s="542">
        <f t="shared" si="44"/>
        <v>0</v>
      </c>
      <c r="J150" s="478">
        <f t="shared" si="47"/>
        <v>0</v>
      </c>
      <c r="K150" s="478"/>
      <c r="L150" s="487"/>
      <c r="M150" s="478">
        <f t="shared" si="49"/>
        <v>0</v>
      </c>
      <c r="N150" s="487"/>
      <c r="O150" s="478">
        <f t="shared" si="50"/>
        <v>0</v>
      </c>
      <c r="P150" s="478">
        <f t="shared" si="48"/>
        <v>0</v>
      </c>
    </row>
    <row r="151" spans="2:16">
      <c r="B151" s="160" t="str">
        <f t="shared" si="26"/>
        <v/>
      </c>
      <c r="C151" s="472">
        <f>IF(D93="","-",+C150+1)</f>
        <v>2058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45"/>
        <v>0</v>
      </c>
      <c r="G151" s="485">
        <f t="shared" si="46"/>
        <v>0</v>
      </c>
      <c r="H151" s="486">
        <f t="shared" si="43"/>
        <v>0</v>
      </c>
      <c r="I151" s="542">
        <f t="shared" si="44"/>
        <v>0</v>
      </c>
      <c r="J151" s="478">
        <f t="shared" si="47"/>
        <v>0</v>
      </c>
      <c r="K151" s="478"/>
      <c r="L151" s="487"/>
      <c r="M151" s="478">
        <f t="shared" si="49"/>
        <v>0</v>
      </c>
      <c r="N151" s="487"/>
      <c r="O151" s="478">
        <f t="shared" si="50"/>
        <v>0</v>
      </c>
      <c r="P151" s="478">
        <f t="shared" si="48"/>
        <v>0</v>
      </c>
    </row>
    <row r="152" spans="2:16">
      <c r="B152" s="160" t="str">
        <f t="shared" si="26"/>
        <v/>
      </c>
      <c r="C152" s="472">
        <f>IF(D93="","-",+C151+1)</f>
        <v>2059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45"/>
        <v>0</v>
      </c>
      <c r="G152" s="485">
        <f t="shared" si="46"/>
        <v>0</v>
      </c>
      <c r="H152" s="486">
        <f t="shared" si="43"/>
        <v>0</v>
      </c>
      <c r="I152" s="542">
        <f t="shared" si="44"/>
        <v>0</v>
      </c>
      <c r="J152" s="478">
        <f t="shared" si="47"/>
        <v>0</v>
      </c>
      <c r="K152" s="478"/>
      <c r="L152" s="487"/>
      <c r="M152" s="478">
        <f t="shared" si="49"/>
        <v>0</v>
      </c>
      <c r="N152" s="487"/>
      <c r="O152" s="478">
        <f t="shared" si="50"/>
        <v>0</v>
      </c>
      <c r="P152" s="478">
        <f t="shared" si="48"/>
        <v>0</v>
      </c>
    </row>
    <row r="153" spans="2:16">
      <c r="B153" s="160" t="str">
        <f t="shared" si="26"/>
        <v/>
      </c>
      <c r="C153" s="472">
        <f>IF(D93="","-",+C152+1)</f>
        <v>2060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45"/>
        <v>0</v>
      </c>
      <c r="G153" s="485">
        <f t="shared" si="46"/>
        <v>0</v>
      </c>
      <c r="H153" s="486">
        <f t="shared" si="43"/>
        <v>0</v>
      </c>
      <c r="I153" s="542">
        <f t="shared" si="44"/>
        <v>0</v>
      </c>
      <c r="J153" s="478">
        <f t="shared" si="47"/>
        <v>0</v>
      </c>
      <c r="K153" s="478"/>
      <c r="L153" s="487"/>
      <c r="M153" s="478">
        <f t="shared" si="49"/>
        <v>0</v>
      </c>
      <c r="N153" s="487"/>
      <c r="O153" s="478">
        <f t="shared" si="50"/>
        <v>0</v>
      </c>
      <c r="P153" s="478">
        <f t="shared" si="48"/>
        <v>0</v>
      </c>
    </row>
    <row r="154" spans="2:16" ht="13.5" thickBot="1">
      <c r="B154" s="160" t="str">
        <f t="shared" si="26"/>
        <v/>
      </c>
      <c r="C154" s="489">
        <f>IF(D93="","-",+C153+1)</f>
        <v>2061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5"/>
        <v>0</v>
      </c>
      <c r="G154" s="490">
        <f t="shared" si="46"/>
        <v>0</v>
      </c>
      <c r="H154" s="492">
        <f t="shared" ref="H154" si="51">+J$94*G154+E154</f>
        <v>0</v>
      </c>
      <c r="I154" s="545">
        <f t="shared" ref="I154" si="52">+J$95*G154+E154</f>
        <v>0</v>
      </c>
      <c r="J154" s="495">
        <f t="shared" si="47"/>
        <v>0</v>
      </c>
      <c r="K154" s="478"/>
      <c r="L154" s="494"/>
      <c r="M154" s="495">
        <f t="shared" si="49"/>
        <v>0</v>
      </c>
      <c r="N154" s="494"/>
      <c r="O154" s="495">
        <f t="shared" si="50"/>
        <v>0</v>
      </c>
      <c r="P154" s="495">
        <f t="shared" si="48"/>
        <v>0</v>
      </c>
    </row>
    <row r="155" spans="2:16">
      <c r="C155" s="347" t="s">
        <v>77</v>
      </c>
      <c r="D155" s="348"/>
      <c r="E155" s="348">
        <f>SUM(E99:E154)</f>
        <v>387742</v>
      </c>
      <c r="F155" s="348"/>
      <c r="G155" s="348"/>
      <c r="H155" s="348">
        <f>SUM(H99:H154)</f>
        <v>1468748.9158392521</v>
      </c>
      <c r="I155" s="348">
        <f>SUM(I99:I154)</f>
        <v>1468748.9158392521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148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54" priority="1" stopIfTrue="1" operator="equal">
      <formula>$I$10</formula>
    </cfRule>
  </conditionalFormatting>
  <conditionalFormatting sqref="C99:C154">
    <cfRule type="cellIs" dxfId="53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ignoredErrors>
    <ignoredError sqref="M101 O10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4"/>
  <dimension ref="A1:P162"/>
  <sheetViews>
    <sheetView zoomScaleNormal="100" zoomScaleSheetLayoutView="75" workbookViewId="0">
      <selection activeCell="B3" sqref="B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3"/>
      <c r="C1" s="312"/>
      <c r="D1" s="241"/>
      <c r="E1" s="233"/>
      <c r="F1" s="339"/>
      <c r="G1" s="233"/>
      <c r="H1" s="242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6 of 29</v>
      </c>
    </row>
    <row r="2" spans="1:16" ht="18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8" t="s">
        <v>150</v>
      </c>
    </row>
    <row r="3" spans="1:16" ht="18.75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49">
        <v>1</v>
      </c>
    </row>
    <row r="4" spans="1:16" ht="15.75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">
      <c r="C5" s="420" t="s">
        <v>44</v>
      </c>
      <c r="D5" s="241"/>
      <c r="E5" s="233"/>
      <c r="F5" s="233"/>
      <c r="G5" s="421"/>
      <c r="H5" s="233" t="s">
        <v>45</v>
      </c>
      <c r="I5" s="233"/>
      <c r="J5" s="243"/>
      <c r="K5" s="422" t="s">
        <v>284</v>
      </c>
      <c r="L5" s="423"/>
      <c r="M5" s="424"/>
      <c r="N5" s="425">
        <f>VLOOKUP(I10,C17:I72,5)</f>
        <v>153220.62710843381</v>
      </c>
      <c r="P5" s="233"/>
    </row>
    <row r="6" spans="1:16" ht="15.75">
      <c r="C6" s="245"/>
      <c r="D6" s="241"/>
      <c r="E6" s="233"/>
      <c r="F6" s="233"/>
      <c r="G6" s="233"/>
      <c r="H6" s="426"/>
      <c r="I6" s="426"/>
      <c r="J6" s="427"/>
      <c r="K6" s="428" t="s">
        <v>285</v>
      </c>
      <c r="L6" s="429"/>
      <c r="M6" s="243"/>
      <c r="N6" s="430">
        <f>VLOOKUP(I10,C17:I72,6)</f>
        <v>153220.62710843381</v>
      </c>
      <c r="O6" s="233"/>
      <c r="P6" s="233"/>
    </row>
    <row r="7" spans="1:16" ht="13.5" thickBot="1">
      <c r="C7" s="431" t="s">
        <v>46</v>
      </c>
      <c r="D7" s="564" t="s">
        <v>84</v>
      </c>
      <c r="E7" s="233"/>
      <c r="F7" s="233"/>
      <c r="G7" s="233"/>
      <c r="H7" s="242"/>
      <c r="I7" s="242"/>
      <c r="J7" s="348"/>
      <c r="K7" s="433" t="s">
        <v>47</v>
      </c>
      <c r="L7" s="434"/>
      <c r="M7" s="434"/>
      <c r="N7" s="435">
        <f>+N6-N5</f>
        <v>0</v>
      </c>
      <c r="O7" s="233"/>
      <c r="P7" s="233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2"/>
    </row>
    <row r="9" spans="1:16" ht="13.5" thickBot="1">
      <c r="A9" s="155"/>
      <c r="C9" s="440" t="s">
        <v>48</v>
      </c>
      <c r="D9" s="441" t="s">
        <v>85</v>
      </c>
      <c r="E9" s="442"/>
      <c r="F9" s="442"/>
      <c r="G9" s="442"/>
      <c r="H9" s="442"/>
      <c r="I9" s="443"/>
      <c r="J9" s="444"/>
      <c r="O9" s="445"/>
      <c r="P9" s="243"/>
    </row>
    <row r="10" spans="1:16">
      <c r="C10" s="446" t="s">
        <v>226</v>
      </c>
      <c r="D10" s="447">
        <v>1520502</v>
      </c>
      <c r="E10" s="325" t="s">
        <v>51</v>
      </c>
      <c r="F10" s="445"/>
      <c r="G10" s="448"/>
      <c r="H10" s="448"/>
      <c r="I10" s="449">
        <f>+'PSO.WS.F.BPU.ATRR.Projected'!L19</f>
        <v>2021</v>
      </c>
      <c r="J10" s="444"/>
      <c r="K10" s="348" t="s">
        <v>52</v>
      </c>
      <c r="O10" s="243"/>
      <c r="P10" s="243"/>
    </row>
    <row r="11" spans="1:16">
      <c r="C11" s="450" t="s">
        <v>53</v>
      </c>
      <c r="D11" s="451">
        <v>2008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>
      <c r="C12" s="450" t="s">
        <v>55</v>
      </c>
      <c r="D12" s="447">
        <v>4</v>
      </c>
      <c r="E12" s="450" t="s">
        <v>56</v>
      </c>
      <c r="F12" s="448"/>
      <c r="G12" s="195"/>
      <c r="H12" s="195"/>
      <c r="I12" s="454">
        <f>'PSO.WS.F.BPU.ATRR.Projected'!$F$81</f>
        <v>0.11505633525681883</v>
      </c>
      <c r="J12" s="397"/>
      <c r="K12" s="148" t="s">
        <v>57</v>
      </c>
      <c r="O12" s="243"/>
      <c r="P12" s="243"/>
    </row>
    <row r="13" spans="1:16">
      <c r="C13" s="450" t="s">
        <v>58</v>
      </c>
      <c r="D13" s="452">
        <f>+'PSO.WS.F.BPU.ATRR.Projected'!F$93</f>
        <v>43</v>
      </c>
      <c r="E13" s="450" t="s">
        <v>59</v>
      </c>
      <c r="F13" s="448"/>
      <c r="G13" s="195"/>
      <c r="H13" s="195"/>
      <c r="I13" s="454">
        <f>IF(G5="",I12,'PSO.WS.F.BPU.ATRR.Projected'!$F$80)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.5" thickBot="1">
      <c r="C14" s="450" t="s">
        <v>61</v>
      </c>
      <c r="D14" s="451" t="s">
        <v>62</v>
      </c>
      <c r="E14" s="243" t="s">
        <v>63</v>
      </c>
      <c r="F14" s="448"/>
      <c r="G14" s="195"/>
      <c r="H14" s="195"/>
      <c r="I14" s="455">
        <f>IF(D10=0,0,D10/D13)</f>
        <v>35360.511627906977</v>
      </c>
      <c r="J14" s="348"/>
      <c r="K14" s="348"/>
      <c r="L14" s="348"/>
      <c r="M14" s="348"/>
      <c r="N14" s="348"/>
      <c r="O14" s="243"/>
      <c r="P14" s="243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3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3"/>
    </row>
    <row r="17" spans="2:16">
      <c r="B17" s="160"/>
      <c r="C17" s="472">
        <f>IF(D11= "","-",D11)</f>
        <v>2008</v>
      </c>
      <c r="D17" s="473">
        <v>1520473</v>
      </c>
      <c r="E17" s="474">
        <v>19125</v>
      </c>
      <c r="F17" s="473">
        <v>1501348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3"/>
    </row>
    <row r="18" spans="2:16">
      <c r="B18" s="160" t="str">
        <f>IF(D18=F17,"","IU")</f>
        <v/>
      </c>
      <c r="C18" s="472">
        <f>IF(D11="","-",+C17+1)</f>
        <v>2009</v>
      </c>
      <c r="D18" s="479">
        <v>1501348</v>
      </c>
      <c r="E18" s="480">
        <v>28688</v>
      </c>
      <c r="F18" s="479">
        <v>1472660</v>
      </c>
      <c r="G18" s="480">
        <v>254309</v>
      </c>
      <c r="H18" s="481">
        <v>254309</v>
      </c>
      <c r="I18" s="475">
        <f t="shared" si="0"/>
        <v>0</v>
      </c>
      <c r="J18" s="475"/>
      <c r="K18" s="476">
        <v>254309</v>
      </c>
      <c r="L18" s="478">
        <f t="shared" si="1"/>
        <v>0</v>
      </c>
      <c r="M18" s="476">
        <v>254309</v>
      </c>
      <c r="N18" s="478">
        <f t="shared" si="2"/>
        <v>0</v>
      </c>
      <c r="O18" s="478">
        <f t="shared" si="3"/>
        <v>0</v>
      </c>
      <c r="P18" s="243"/>
    </row>
    <row r="19" spans="2:16">
      <c r="B19" s="160" t="str">
        <f>IF(D19=F18,"","IU")</f>
        <v>IU</v>
      </c>
      <c r="C19" s="472">
        <f>IF(D11="","-",+C18+1)</f>
        <v>2010</v>
      </c>
      <c r="D19" s="479">
        <v>1472689</v>
      </c>
      <c r="E19" s="480">
        <v>27151.821428571428</v>
      </c>
      <c r="F19" s="479">
        <v>1445537.1785714286</v>
      </c>
      <c r="G19" s="480">
        <v>235737.79751815079</v>
      </c>
      <c r="H19" s="481">
        <v>235737.79751815079</v>
      </c>
      <c r="I19" s="475">
        <f t="shared" si="0"/>
        <v>0</v>
      </c>
      <c r="J19" s="475"/>
      <c r="K19" s="540">
        <f t="shared" ref="K19:K24" si="4">G19</f>
        <v>235737.79751815079</v>
      </c>
      <c r="L19" s="541">
        <f t="shared" si="1"/>
        <v>0</v>
      </c>
      <c r="M19" s="540">
        <f t="shared" ref="M19:M24" si="5">H19</f>
        <v>235737.79751815079</v>
      </c>
      <c r="N19" s="478">
        <f t="shared" si="2"/>
        <v>0</v>
      </c>
      <c r="O19" s="478">
        <f t="shared" si="3"/>
        <v>0</v>
      </c>
      <c r="P19" s="243"/>
    </row>
    <row r="20" spans="2:16">
      <c r="B20" s="160" t="str">
        <f t="shared" ref="B20:B72" si="6">IF(D20=F19,"","IU")</f>
        <v/>
      </c>
      <c r="C20" s="472">
        <f>IF(D11="","-",+C19+1)</f>
        <v>2011</v>
      </c>
      <c r="D20" s="479">
        <v>1445537.1785714286</v>
      </c>
      <c r="E20" s="480">
        <v>29813.764705882353</v>
      </c>
      <c r="F20" s="479">
        <v>1415723.4138655462</v>
      </c>
      <c r="G20" s="480">
        <v>251435.83921239444</v>
      </c>
      <c r="H20" s="481">
        <v>251435.83921239444</v>
      </c>
      <c r="I20" s="475">
        <f t="shared" si="0"/>
        <v>0</v>
      </c>
      <c r="J20" s="475"/>
      <c r="K20" s="476">
        <f t="shared" si="4"/>
        <v>251435.83921239444</v>
      </c>
      <c r="L20" s="550">
        <f t="shared" si="1"/>
        <v>0</v>
      </c>
      <c r="M20" s="476">
        <f t="shared" si="5"/>
        <v>251435.83921239444</v>
      </c>
      <c r="N20" s="478">
        <f t="shared" si="2"/>
        <v>0</v>
      </c>
      <c r="O20" s="478">
        <f t="shared" si="3"/>
        <v>0</v>
      </c>
      <c r="P20" s="243"/>
    </row>
    <row r="21" spans="2:16">
      <c r="B21" s="160" t="str">
        <f t="shared" si="6"/>
        <v/>
      </c>
      <c r="C21" s="472">
        <f>IF(D11="","-",+C20+1)</f>
        <v>2012</v>
      </c>
      <c r="D21" s="479">
        <v>1415723.4138655462</v>
      </c>
      <c r="E21" s="480">
        <v>29240.423076923078</v>
      </c>
      <c r="F21" s="479">
        <v>1386482.9907886232</v>
      </c>
      <c r="G21" s="480">
        <v>222248.1918516063</v>
      </c>
      <c r="H21" s="481">
        <v>222248.1918516063</v>
      </c>
      <c r="I21" s="475">
        <f t="shared" si="0"/>
        <v>0</v>
      </c>
      <c r="J21" s="475"/>
      <c r="K21" s="476">
        <f t="shared" si="4"/>
        <v>222248.1918516063</v>
      </c>
      <c r="L21" s="550">
        <f t="shared" si="1"/>
        <v>0</v>
      </c>
      <c r="M21" s="476">
        <f t="shared" si="5"/>
        <v>222248.1918516063</v>
      </c>
      <c r="N21" s="478">
        <f t="shared" si="2"/>
        <v>0</v>
      </c>
      <c r="O21" s="478">
        <f t="shared" si="3"/>
        <v>0</v>
      </c>
      <c r="P21" s="243"/>
    </row>
    <row r="22" spans="2:16">
      <c r="B22" s="160" t="str">
        <f t="shared" si="6"/>
        <v/>
      </c>
      <c r="C22" s="472">
        <f>IF(D11="","-",+C21+1)</f>
        <v>2013</v>
      </c>
      <c r="D22" s="479">
        <v>1386482.9907886232</v>
      </c>
      <c r="E22" s="480">
        <v>29240.423076923078</v>
      </c>
      <c r="F22" s="479">
        <v>1357242.5677117002</v>
      </c>
      <c r="G22" s="480">
        <v>223063.83719618269</v>
      </c>
      <c r="H22" s="481">
        <v>223063.83719618269</v>
      </c>
      <c r="I22" s="475">
        <v>0</v>
      </c>
      <c r="J22" s="475"/>
      <c r="K22" s="476">
        <f t="shared" si="4"/>
        <v>223063.83719618269</v>
      </c>
      <c r="L22" s="550">
        <f t="shared" ref="L22:L27" si="7">IF(K22&lt;&gt;0,+G22-K22,0)</f>
        <v>0</v>
      </c>
      <c r="M22" s="476">
        <f t="shared" si="5"/>
        <v>223063.83719618269</v>
      </c>
      <c r="N22" s="478">
        <f t="shared" ref="N22:N27" si="8">IF(M22&lt;&gt;0,+H22-M22,0)</f>
        <v>0</v>
      </c>
      <c r="O22" s="478">
        <f t="shared" ref="O22:O27" si="9">+N22-L22</f>
        <v>0</v>
      </c>
      <c r="P22" s="243"/>
    </row>
    <row r="23" spans="2:16">
      <c r="B23" s="160" t="str">
        <f t="shared" si="6"/>
        <v/>
      </c>
      <c r="C23" s="472">
        <f>IF(D11="","-",+C22+1)</f>
        <v>2014</v>
      </c>
      <c r="D23" s="479">
        <v>1357242.5677117002</v>
      </c>
      <c r="E23" s="480">
        <v>29240.423076923078</v>
      </c>
      <c r="F23" s="479">
        <v>1328002.1446347772</v>
      </c>
      <c r="G23" s="480">
        <v>212051.56179808528</v>
      </c>
      <c r="H23" s="481">
        <v>212051.56179808528</v>
      </c>
      <c r="I23" s="475">
        <v>0</v>
      </c>
      <c r="J23" s="475"/>
      <c r="K23" s="476">
        <f t="shared" si="4"/>
        <v>212051.56179808528</v>
      </c>
      <c r="L23" s="550">
        <f t="shared" si="7"/>
        <v>0</v>
      </c>
      <c r="M23" s="476">
        <f t="shared" si="5"/>
        <v>212051.56179808528</v>
      </c>
      <c r="N23" s="478">
        <f t="shared" si="8"/>
        <v>0</v>
      </c>
      <c r="O23" s="478">
        <f t="shared" si="9"/>
        <v>0</v>
      </c>
      <c r="P23" s="243"/>
    </row>
    <row r="24" spans="2:16">
      <c r="B24" s="160" t="str">
        <f t="shared" si="6"/>
        <v/>
      </c>
      <c r="C24" s="472">
        <f>IF(D11="","-",+C23+1)</f>
        <v>2015</v>
      </c>
      <c r="D24" s="479">
        <v>1328002.1446347772</v>
      </c>
      <c r="E24" s="480">
        <v>29240.423076923078</v>
      </c>
      <c r="F24" s="479">
        <v>1298761.7215578542</v>
      </c>
      <c r="G24" s="480">
        <v>208302.85337289202</v>
      </c>
      <c r="H24" s="481">
        <v>208302.85337289202</v>
      </c>
      <c r="I24" s="475">
        <v>0</v>
      </c>
      <c r="J24" s="475"/>
      <c r="K24" s="476">
        <f t="shared" si="4"/>
        <v>208302.85337289202</v>
      </c>
      <c r="L24" s="550">
        <f t="shared" si="7"/>
        <v>0</v>
      </c>
      <c r="M24" s="476">
        <f t="shared" si="5"/>
        <v>208302.85337289202</v>
      </c>
      <c r="N24" s="478">
        <f t="shared" si="8"/>
        <v>0</v>
      </c>
      <c r="O24" s="478">
        <f t="shared" si="9"/>
        <v>0</v>
      </c>
      <c r="P24" s="243"/>
    </row>
    <row r="25" spans="2:16">
      <c r="B25" s="160" t="str">
        <f t="shared" si="6"/>
        <v/>
      </c>
      <c r="C25" s="472">
        <f>IF(D11="","-",+C24+1)</f>
        <v>2016</v>
      </c>
      <c r="D25" s="479">
        <v>1298761.7215578542</v>
      </c>
      <c r="E25" s="480">
        <v>29240.423076923078</v>
      </c>
      <c r="F25" s="479">
        <v>1269521.2984809312</v>
      </c>
      <c r="G25" s="480">
        <v>195750.37197477801</v>
      </c>
      <c r="H25" s="481">
        <v>195750.37197477801</v>
      </c>
      <c r="I25" s="475">
        <f t="shared" si="0"/>
        <v>0</v>
      </c>
      <c r="J25" s="475"/>
      <c r="K25" s="476">
        <f t="shared" ref="K25:K30" si="10">G25</f>
        <v>195750.37197477801</v>
      </c>
      <c r="L25" s="550">
        <f t="shared" si="7"/>
        <v>0</v>
      </c>
      <c r="M25" s="476">
        <f t="shared" ref="M25:M30" si="11">H25</f>
        <v>195750.37197477801</v>
      </c>
      <c r="N25" s="478">
        <f t="shared" si="8"/>
        <v>0</v>
      </c>
      <c r="O25" s="478">
        <f t="shared" si="9"/>
        <v>0</v>
      </c>
      <c r="P25" s="243"/>
    </row>
    <row r="26" spans="2:16">
      <c r="B26" s="160" t="str">
        <f t="shared" si="6"/>
        <v/>
      </c>
      <c r="C26" s="472">
        <f>IF(D11="","-",+C25+1)</f>
        <v>2017</v>
      </c>
      <c r="D26" s="479">
        <v>1269521.2984809312</v>
      </c>
      <c r="E26" s="480">
        <v>33054.391304347824</v>
      </c>
      <c r="F26" s="479">
        <v>1236466.9071765833</v>
      </c>
      <c r="G26" s="480">
        <v>190407.97943741584</v>
      </c>
      <c r="H26" s="481">
        <v>190407.97943741584</v>
      </c>
      <c r="I26" s="475">
        <f t="shared" si="0"/>
        <v>0</v>
      </c>
      <c r="J26" s="475"/>
      <c r="K26" s="476">
        <f t="shared" si="10"/>
        <v>190407.97943741584</v>
      </c>
      <c r="L26" s="550">
        <f t="shared" si="7"/>
        <v>0</v>
      </c>
      <c r="M26" s="476">
        <f t="shared" si="11"/>
        <v>190407.97943741584</v>
      </c>
      <c r="N26" s="478">
        <f t="shared" si="8"/>
        <v>0</v>
      </c>
      <c r="O26" s="478">
        <f t="shared" si="9"/>
        <v>0</v>
      </c>
      <c r="P26" s="243"/>
    </row>
    <row r="27" spans="2:16">
      <c r="B27" s="160" t="str">
        <f t="shared" si="6"/>
        <v/>
      </c>
      <c r="C27" s="472">
        <f>IF(D11="","-",+C26+1)</f>
        <v>2018</v>
      </c>
      <c r="D27" s="479">
        <v>1236466.9071765833</v>
      </c>
      <c r="E27" s="480">
        <v>33788.933333333334</v>
      </c>
      <c r="F27" s="479">
        <v>1202677.97384325</v>
      </c>
      <c r="G27" s="480">
        <v>196553.85018087178</v>
      </c>
      <c r="H27" s="481">
        <v>196553.85018087178</v>
      </c>
      <c r="I27" s="475">
        <f t="shared" si="0"/>
        <v>0</v>
      </c>
      <c r="J27" s="475"/>
      <c r="K27" s="476">
        <f t="shared" si="10"/>
        <v>196553.85018087178</v>
      </c>
      <c r="L27" s="550">
        <f t="shared" si="7"/>
        <v>0</v>
      </c>
      <c r="M27" s="476">
        <f t="shared" si="11"/>
        <v>196553.85018087178</v>
      </c>
      <c r="N27" s="478">
        <f t="shared" si="8"/>
        <v>0</v>
      </c>
      <c r="O27" s="478">
        <f t="shared" si="9"/>
        <v>0</v>
      </c>
      <c r="P27" s="243"/>
    </row>
    <row r="28" spans="2:16">
      <c r="B28" s="160" t="str">
        <f t="shared" si="6"/>
        <v/>
      </c>
      <c r="C28" s="472">
        <f>IF(D11="","-",+C27+1)</f>
        <v>2019</v>
      </c>
      <c r="D28" s="479">
        <v>1202677.97384325</v>
      </c>
      <c r="E28" s="480">
        <v>33788.933333333334</v>
      </c>
      <c r="F28" s="479">
        <v>1168889.0405099166</v>
      </c>
      <c r="G28" s="480">
        <v>191981.01103026158</v>
      </c>
      <c r="H28" s="481">
        <v>191981.01103026158</v>
      </c>
      <c r="I28" s="475">
        <f t="shared" si="0"/>
        <v>0</v>
      </c>
      <c r="J28" s="475"/>
      <c r="K28" s="476">
        <f t="shared" si="10"/>
        <v>191981.01103026158</v>
      </c>
      <c r="L28" s="550">
        <f t="shared" ref="L28" si="12">IF(K28&lt;&gt;0,+G28-K28,0)</f>
        <v>0</v>
      </c>
      <c r="M28" s="476">
        <f t="shared" si="11"/>
        <v>191981.01103026158</v>
      </c>
      <c r="N28" s="478">
        <f t="shared" ref="N28" si="13">IF(M28&lt;&gt;0,+H28-M28,0)</f>
        <v>0</v>
      </c>
      <c r="O28" s="478">
        <f t="shared" ref="O28" si="14">+N28-L28</f>
        <v>0</v>
      </c>
      <c r="P28" s="243"/>
    </row>
    <row r="29" spans="2:16">
      <c r="B29" s="160" t="str">
        <f t="shared" si="6"/>
        <v/>
      </c>
      <c r="C29" s="472">
        <f>IF(D11="","-",+C28+1)</f>
        <v>2020</v>
      </c>
      <c r="D29" s="479">
        <v>1168889.0405099166</v>
      </c>
      <c r="E29" s="480">
        <v>36202.428571428572</v>
      </c>
      <c r="F29" s="479">
        <v>1132686.611938488</v>
      </c>
      <c r="G29" s="480">
        <v>160493.01101346352</v>
      </c>
      <c r="H29" s="481">
        <v>160493.01101346352</v>
      </c>
      <c r="I29" s="475">
        <f t="shared" si="0"/>
        <v>0</v>
      </c>
      <c r="J29" s="475"/>
      <c r="K29" s="476">
        <f t="shared" si="10"/>
        <v>160493.01101346352</v>
      </c>
      <c r="L29" s="550">
        <f t="shared" ref="L29" si="15">IF(K29&lt;&gt;0,+G29-K29,0)</f>
        <v>0</v>
      </c>
      <c r="M29" s="476">
        <f t="shared" si="11"/>
        <v>160493.01101346352</v>
      </c>
      <c r="N29" s="478">
        <f t="shared" si="2"/>
        <v>0</v>
      </c>
      <c r="O29" s="478">
        <f t="shared" si="3"/>
        <v>0</v>
      </c>
      <c r="P29" s="243"/>
    </row>
    <row r="30" spans="2:16">
      <c r="B30" s="160" t="str">
        <f t="shared" si="6"/>
        <v>IU</v>
      </c>
      <c r="C30" s="472">
        <f>IF(D11="","-",+C29+1)</f>
        <v>2021</v>
      </c>
      <c r="D30" s="479">
        <v>1128462.995271821</v>
      </c>
      <c r="E30" s="480">
        <v>35360.511627906977</v>
      </c>
      <c r="F30" s="479">
        <v>1093102.4836439141</v>
      </c>
      <c r="G30" s="480">
        <v>153220.62710843381</v>
      </c>
      <c r="H30" s="481">
        <v>153220.62710843381</v>
      </c>
      <c r="I30" s="475">
        <f t="shared" si="0"/>
        <v>0</v>
      </c>
      <c r="J30" s="475"/>
      <c r="K30" s="476">
        <f t="shared" si="10"/>
        <v>153220.62710843381</v>
      </c>
      <c r="L30" s="550">
        <f t="shared" ref="L30" si="16">IF(K30&lt;&gt;0,+G30-K30,0)</f>
        <v>0</v>
      </c>
      <c r="M30" s="476">
        <f t="shared" si="11"/>
        <v>153220.62710843381</v>
      </c>
      <c r="N30" s="478">
        <f t="shared" si="2"/>
        <v>0</v>
      </c>
      <c r="O30" s="478">
        <f t="shared" si="3"/>
        <v>0</v>
      </c>
      <c r="P30" s="243"/>
    </row>
    <row r="31" spans="2:16">
      <c r="B31" s="160" t="str">
        <f t="shared" si="6"/>
        <v>IU</v>
      </c>
      <c r="C31" s="472">
        <f>IF(D11="","-",+C30+1)</f>
        <v>2022</v>
      </c>
      <c r="D31" s="485">
        <f>IF(F30+SUM(E$17:E30)=D$10,F30,D$10-SUM(E$17:E30))</f>
        <v>1097326.1003105808</v>
      </c>
      <c r="E31" s="484">
        <f>IF(+I14&lt;F30,I14,D31)</f>
        <v>35360.511627906977</v>
      </c>
      <c r="F31" s="485">
        <f t="shared" ref="F31:F48" si="17">+D31-E31</f>
        <v>1061965.5886826739</v>
      </c>
      <c r="G31" s="486">
        <f t="shared" ref="G31:G72" si="18">(D31+F31)/2*I$12+E31</f>
        <v>159580.60587094224</v>
      </c>
      <c r="H31" s="455">
        <f t="shared" ref="H31:H72" si="19">+(D31+F31)/2*I$13+E31</f>
        <v>159580.60587094224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3"/>
    </row>
    <row r="32" spans="2:16">
      <c r="B32" s="160" t="str">
        <f t="shared" si="6"/>
        <v/>
      </c>
      <c r="C32" s="472">
        <f>IF(D11="","-",+C31+1)</f>
        <v>2023</v>
      </c>
      <c r="D32" s="485">
        <f>IF(F31+SUM(E$17:E31)=D$10,F31,D$10-SUM(E$17:E31))</f>
        <v>1061965.5886826739</v>
      </c>
      <c r="E32" s="484">
        <f>IF(+I14&lt;F31,I14,D32)</f>
        <v>35360.511627906977</v>
      </c>
      <c r="F32" s="485">
        <f t="shared" si="17"/>
        <v>1026605.0770547669</v>
      </c>
      <c r="G32" s="486">
        <f t="shared" si="18"/>
        <v>155512.15499022912</v>
      </c>
      <c r="H32" s="455">
        <f t="shared" si="19"/>
        <v>155512.15499022912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3"/>
    </row>
    <row r="33" spans="2:16">
      <c r="B33" s="160" t="str">
        <f t="shared" si="6"/>
        <v/>
      </c>
      <c r="C33" s="472">
        <f>IF(D11="","-",+C32+1)</f>
        <v>2024</v>
      </c>
      <c r="D33" s="485">
        <f>IF(F32+SUM(E$17:E32)=D$10,F32,D$10-SUM(E$17:E32))</f>
        <v>1026605.0770547669</v>
      </c>
      <c r="E33" s="484">
        <f>IF(+I14&lt;F32,I14,D33)</f>
        <v>35360.511627906977</v>
      </c>
      <c r="F33" s="485">
        <f t="shared" si="17"/>
        <v>991244.56542686</v>
      </c>
      <c r="G33" s="486">
        <f t="shared" si="18"/>
        <v>151443.70410951599</v>
      </c>
      <c r="H33" s="455">
        <f t="shared" si="19"/>
        <v>151443.70410951599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3"/>
    </row>
    <row r="34" spans="2:16">
      <c r="B34" s="160" t="str">
        <f t="shared" si="6"/>
        <v/>
      </c>
      <c r="C34" s="472">
        <f>IF(D11="","-",+C33+1)</f>
        <v>2025</v>
      </c>
      <c r="D34" s="485">
        <f>IF(F33+SUM(E$17:E33)=D$10,F33,D$10-SUM(E$17:E33))</f>
        <v>991244.56542686</v>
      </c>
      <c r="E34" s="484">
        <f>IF(+I14&lt;F33,I14,D34)</f>
        <v>35360.511627906977</v>
      </c>
      <c r="F34" s="485">
        <f t="shared" si="17"/>
        <v>955884.05379895307</v>
      </c>
      <c r="G34" s="486">
        <f t="shared" si="18"/>
        <v>147375.25322880293</v>
      </c>
      <c r="H34" s="455">
        <f t="shared" si="19"/>
        <v>147375.25322880293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3"/>
    </row>
    <row r="35" spans="2:16">
      <c r="B35" s="160" t="str">
        <f t="shared" si="6"/>
        <v/>
      </c>
      <c r="C35" s="472">
        <f>IF(D11="","-",+C34+1)</f>
        <v>2026</v>
      </c>
      <c r="D35" s="485">
        <f>IF(F34+SUM(E$17:E34)=D$10,F34,D$10-SUM(E$17:E34))</f>
        <v>955884.05379895307</v>
      </c>
      <c r="E35" s="484">
        <f>IF(+I14&lt;F34,I14,D35)</f>
        <v>35360.511627906977</v>
      </c>
      <c r="F35" s="485">
        <f t="shared" si="17"/>
        <v>920523.54217104614</v>
      </c>
      <c r="G35" s="486">
        <f t="shared" si="18"/>
        <v>143306.80234808981</v>
      </c>
      <c r="H35" s="455">
        <f t="shared" si="19"/>
        <v>143306.80234808981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3"/>
    </row>
    <row r="36" spans="2:16">
      <c r="B36" s="160" t="str">
        <f t="shared" si="6"/>
        <v/>
      </c>
      <c r="C36" s="472">
        <f>IF(D11="","-",+C35+1)</f>
        <v>2027</v>
      </c>
      <c r="D36" s="485">
        <f>IF(F35+SUM(E$17:E35)=D$10,F35,D$10-SUM(E$17:E35))</f>
        <v>920523.54217104614</v>
      </c>
      <c r="E36" s="484">
        <f>IF(+I14&lt;F35,I14,D36)</f>
        <v>35360.511627906977</v>
      </c>
      <c r="F36" s="485">
        <f t="shared" si="17"/>
        <v>885163.0305431392</v>
      </c>
      <c r="G36" s="486">
        <f t="shared" si="18"/>
        <v>139238.35146737672</v>
      </c>
      <c r="H36" s="455">
        <f t="shared" si="19"/>
        <v>139238.35146737672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3"/>
    </row>
    <row r="37" spans="2:16">
      <c r="B37" s="160" t="str">
        <f t="shared" si="6"/>
        <v/>
      </c>
      <c r="C37" s="472">
        <f>IF(D11="","-",+C36+1)</f>
        <v>2028</v>
      </c>
      <c r="D37" s="485">
        <f>IF(F36+SUM(E$17:E36)=D$10,F36,D$10-SUM(E$17:E36))</f>
        <v>885163.0305431392</v>
      </c>
      <c r="E37" s="484">
        <f>IF(+I14&lt;F36,I14,D37)</f>
        <v>35360.511627906977</v>
      </c>
      <c r="F37" s="485">
        <f t="shared" si="17"/>
        <v>849802.51891523227</v>
      </c>
      <c r="G37" s="486">
        <f t="shared" si="18"/>
        <v>135169.90058666363</v>
      </c>
      <c r="H37" s="455">
        <f t="shared" si="19"/>
        <v>135169.90058666363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3"/>
    </row>
    <row r="38" spans="2:16">
      <c r="B38" s="160" t="str">
        <f t="shared" si="6"/>
        <v/>
      </c>
      <c r="C38" s="472">
        <f>IF(D11="","-",+C37+1)</f>
        <v>2029</v>
      </c>
      <c r="D38" s="485">
        <f>IF(F37+SUM(E$17:E37)=D$10,F37,D$10-SUM(E$17:E37))</f>
        <v>849802.51891523227</v>
      </c>
      <c r="E38" s="484">
        <f>IF(+I14&lt;F37,I14,D38)</f>
        <v>35360.511627906977</v>
      </c>
      <c r="F38" s="485">
        <f t="shared" si="17"/>
        <v>814442.00728732534</v>
      </c>
      <c r="G38" s="486">
        <f t="shared" si="18"/>
        <v>131101.44970595051</v>
      </c>
      <c r="H38" s="455">
        <f t="shared" si="19"/>
        <v>131101.44970595051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3"/>
    </row>
    <row r="39" spans="2:16">
      <c r="B39" s="160" t="str">
        <f t="shared" si="6"/>
        <v/>
      </c>
      <c r="C39" s="472">
        <f>IF(D11="","-",+C38+1)</f>
        <v>2030</v>
      </c>
      <c r="D39" s="485">
        <f>IF(F38+SUM(E$17:E38)=D$10,F38,D$10-SUM(E$17:E38))</f>
        <v>814442.00728732534</v>
      </c>
      <c r="E39" s="484">
        <f>IF(+I14&lt;F38,I14,D39)</f>
        <v>35360.511627906977</v>
      </c>
      <c r="F39" s="485">
        <f t="shared" si="17"/>
        <v>779081.4956594184</v>
      </c>
      <c r="G39" s="486">
        <f t="shared" si="18"/>
        <v>127032.99882523742</v>
      </c>
      <c r="H39" s="455">
        <f t="shared" si="19"/>
        <v>127032.99882523742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3"/>
    </row>
    <row r="40" spans="2:16">
      <c r="B40" s="160" t="str">
        <f t="shared" si="6"/>
        <v/>
      </c>
      <c r="C40" s="472">
        <f>IF(D11="","-",+C39+1)</f>
        <v>2031</v>
      </c>
      <c r="D40" s="485">
        <f>IF(F39+SUM(E$17:E39)=D$10,F39,D$10-SUM(E$17:E39))</f>
        <v>779081.4956594184</v>
      </c>
      <c r="E40" s="484">
        <f>IF(+I14&lt;F39,I14,D40)</f>
        <v>35360.511627906977</v>
      </c>
      <c r="F40" s="485">
        <f t="shared" si="17"/>
        <v>743720.98403151147</v>
      </c>
      <c r="G40" s="486">
        <f t="shared" si="18"/>
        <v>122964.54794452431</v>
      </c>
      <c r="H40" s="455">
        <f t="shared" si="19"/>
        <v>122964.54794452431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3"/>
    </row>
    <row r="41" spans="2:16">
      <c r="B41" s="160" t="str">
        <f t="shared" si="6"/>
        <v/>
      </c>
      <c r="C41" s="472">
        <f>IF(D11="","-",+C40+1)</f>
        <v>2032</v>
      </c>
      <c r="D41" s="485">
        <f>IF(F40+SUM(E$17:E40)=D$10,F40,D$10-SUM(E$17:E40))</f>
        <v>743720.98403151147</v>
      </c>
      <c r="E41" s="484">
        <f>IF(+I14&lt;F40,I14,D41)</f>
        <v>35360.511627906977</v>
      </c>
      <c r="F41" s="485">
        <f t="shared" si="17"/>
        <v>708360.47240360454</v>
      </c>
      <c r="G41" s="486">
        <f t="shared" si="18"/>
        <v>118896.0970638112</v>
      </c>
      <c r="H41" s="455">
        <f t="shared" si="19"/>
        <v>118896.0970638112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3"/>
    </row>
    <row r="42" spans="2:16">
      <c r="B42" s="160" t="str">
        <f t="shared" si="6"/>
        <v/>
      </c>
      <c r="C42" s="472">
        <f>IF(D11="","-",+C41+1)</f>
        <v>2033</v>
      </c>
      <c r="D42" s="485">
        <f>IF(F41+SUM(E$17:E41)=D$10,F41,D$10-SUM(E$17:E41))</f>
        <v>708360.47240360454</v>
      </c>
      <c r="E42" s="484">
        <f>IF(+I14&lt;F41,I14,D42)</f>
        <v>35360.511627906977</v>
      </c>
      <c r="F42" s="485">
        <f t="shared" si="17"/>
        <v>672999.9607756976</v>
      </c>
      <c r="G42" s="486">
        <f t="shared" si="18"/>
        <v>114827.64618309811</v>
      </c>
      <c r="H42" s="455">
        <f t="shared" si="19"/>
        <v>114827.64618309811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3"/>
    </row>
    <row r="43" spans="2:16">
      <c r="B43" s="160" t="str">
        <f t="shared" si="6"/>
        <v/>
      </c>
      <c r="C43" s="472">
        <f>IF(D11="","-",+C42+1)</f>
        <v>2034</v>
      </c>
      <c r="D43" s="485">
        <f>IF(F42+SUM(E$17:E42)=D$10,F42,D$10-SUM(E$17:E42))</f>
        <v>672999.9607756976</v>
      </c>
      <c r="E43" s="484">
        <f>IF(+I14&lt;F42,I14,D43)</f>
        <v>35360.511627906977</v>
      </c>
      <c r="F43" s="485">
        <f t="shared" si="17"/>
        <v>637639.44914779067</v>
      </c>
      <c r="G43" s="486">
        <f t="shared" si="18"/>
        <v>110759.19530238501</v>
      </c>
      <c r="H43" s="455">
        <f t="shared" si="19"/>
        <v>110759.19530238501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3"/>
    </row>
    <row r="44" spans="2:16">
      <c r="B44" s="160" t="str">
        <f t="shared" si="6"/>
        <v/>
      </c>
      <c r="C44" s="472">
        <f>IF(D11="","-",+C43+1)</f>
        <v>2035</v>
      </c>
      <c r="D44" s="485">
        <f>IF(F43+SUM(E$17:E43)=D$10,F43,D$10-SUM(E$17:E43))</f>
        <v>637639.44914779067</v>
      </c>
      <c r="E44" s="484">
        <f>IF(+I14&lt;F43,I14,D44)</f>
        <v>35360.511627906977</v>
      </c>
      <c r="F44" s="485">
        <f t="shared" si="17"/>
        <v>602278.93751988374</v>
      </c>
      <c r="G44" s="486">
        <f t="shared" si="18"/>
        <v>106690.74442167192</v>
      </c>
      <c r="H44" s="455">
        <f t="shared" si="19"/>
        <v>106690.74442167192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3"/>
    </row>
    <row r="45" spans="2:16">
      <c r="B45" s="160" t="str">
        <f t="shared" si="6"/>
        <v/>
      </c>
      <c r="C45" s="472">
        <f>IF(D11="","-",+C44+1)</f>
        <v>2036</v>
      </c>
      <c r="D45" s="485">
        <f>IF(F44+SUM(E$17:E44)=D$10,F44,D$10-SUM(E$17:E44))</f>
        <v>602278.93751988374</v>
      </c>
      <c r="E45" s="484">
        <f>IF(+I14&lt;F44,I14,D45)</f>
        <v>35360.511627906977</v>
      </c>
      <c r="F45" s="485">
        <f t="shared" si="17"/>
        <v>566918.4258919768</v>
      </c>
      <c r="G45" s="486">
        <f t="shared" si="18"/>
        <v>102622.29354095881</v>
      </c>
      <c r="H45" s="455">
        <f t="shared" si="19"/>
        <v>102622.29354095881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3"/>
    </row>
    <row r="46" spans="2:16">
      <c r="B46" s="160" t="str">
        <f t="shared" si="6"/>
        <v/>
      </c>
      <c r="C46" s="472">
        <f>IF(D11="","-",+C45+1)</f>
        <v>2037</v>
      </c>
      <c r="D46" s="485">
        <f>IF(F45+SUM(E$17:E45)=D$10,F45,D$10-SUM(E$17:E45))</f>
        <v>566918.4258919768</v>
      </c>
      <c r="E46" s="484">
        <f>IF(+I14&lt;F45,I14,D46)</f>
        <v>35360.511627906977</v>
      </c>
      <c r="F46" s="485">
        <f t="shared" si="17"/>
        <v>531557.91426406987</v>
      </c>
      <c r="G46" s="486">
        <f t="shared" si="18"/>
        <v>98553.842660245718</v>
      </c>
      <c r="H46" s="455">
        <f t="shared" si="19"/>
        <v>98553.842660245718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3"/>
    </row>
    <row r="47" spans="2:16">
      <c r="B47" s="160" t="str">
        <f t="shared" si="6"/>
        <v/>
      </c>
      <c r="C47" s="472">
        <f>IF(D11="","-",+C46+1)</f>
        <v>2038</v>
      </c>
      <c r="D47" s="485">
        <f>IF(F46+SUM(E$17:E46)=D$10,F46,D$10-SUM(E$17:E46))</f>
        <v>531557.91426406987</v>
      </c>
      <c r="E47" s="484">
        <f>IF(+I14&lt;F46,I14,D47)</f>
        <v>35360.511627906977</v>
      </c>
      <c r="F47" s="485">
        <f t="shared" si="17"/>
        <v>496197.40263616288</v>
      </c>
      <c r="G47" s="486">
        <f t="shared" si="18"/>
        <v>94485.391779532598</v>
      </c>
      <c r="H47" s="455">
        <f t="shared" si="19"/>
        <v>94485.391779532598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3"/>
    </row>
    <row r="48" spans="2:16">
      <c r="B48" s="160" t="str">
        <f t="shared" si="6"/>
        <v/>
      </c>
      <c r="C48" s="472">
        <f>IF(D11="","-",+C47+1)</f>
        <v>2039</v>
      </c>
      <c r="D48" s="485">
        <f>IF(F47+SUM(E$17:E47)=D$10,F47,D$10-SUM(E$17:E47))</f>
        <v>496197.40263616288</v>
      </c>
      <c r="E48" s="484">
        <f>IF(+I14&lt;F47,I14,D48)</f>
        <v>35360.511627906977</v>
      </c>
      <c r="F48" s="485">
        <f t="shared" si="17"/>
        <v>460836.89100825589</v>
      </c>
      <c r="G48" s="486">
        <f t="shared" si="18"/>
        <v>90416.940898819492</v>
      </c>
      <c r="H48" s="455">
        <f t="shared" si="19"/>
        <v>90416.940898819492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3"/>
    </row>
    <row r="49" spans="2:16">
      <c r="B49" s="160" t="str">
        <f t="shared" si="6"/>
        <v/>
      </c>
      <c r="C49" s="472">
        <f>IF(D11="","-",+C48+1)</f>
        <v>2040</v>
      </c>
      <c r="D49" s="485">
        <f>IF(F48+SUM(E$17:E48)=D$10,F48,D$10-SUM(E$17:E48))</f>
        <v>460836.89100825589</v>
      </c>
      <c r="E49" s="484">
        <f>IF(+I14&lt;F48,I14,D49)</f>
        <v>35360.511627906977</v>
      </c>
      <c r="F49" s="485">
        <f t="shared" ref="F49:F72" si="20">+D49-E49</f>
        <v>425476.3793803489</v>
      </c>
      <c r="G49" s="486">
        <f t="shared" si="18"/>
        <v>86348.490018106386</v>
      </c>
      <c r="H49" s="455">
        <f t="shared" si="19"/>
        <v>86348.490018106386</v>
      </c>
      <c r="I49" s="475">
        <f t="shared" ref="I49:I72" si="21">H49-G49</f>
        <v>0</v>
      </c>
      <c r="J49" s="475"/>
      <c r="K49" s="487"/>
      <c r="L49" s="478">
        <f t="shared" ref="L49:L72" si="22">IF(K49&lt;&gt;0,+G49-K49,0)</f>
        <v>0</v>
      </c>
      <c r="M49" s="487"/>
      <c r="N49" s="478">
        <f t="shared" ref="N49:N72" si="23">IF(M49&lt;&gt;0,+H49-M49,0)</f>
        <v>0</v>
      </c>
      <c r="O49" s="478">
        <f t="shared" ref="O49:O72" si="24">+N49-L49</f>
        <v>0</v>
      </c>
      <c r="P49" s="243"/>
    </row>
    <row r="50" spans="2:16">
      <c r="B50" s="160" t="str">
        <f t="shared" si="6"/>
        <v/>
      </c>
      <c r="C50" s="472">
        <f>IF(D11="","-",+C49+1)</f>
        <v>2041</v>
      </c>
      <c r="D50" s="485">
        <f>IF(F49+SUM(E$17:E49)=D$10,F49,D$10-SUM(E$17:E49))</f>
        <v>425476.3793803489</v>
      </c>
      <c r="E50" s="484">
        <f>IF(+I14&lt;F49,I14,D50)</f>
        <v>35360.511627906977</v>
      </c>
      <c r="F50" s="485">
        <f t="shared" si="20"/>
        <v>390115.8677524419</v>
      </c>
      <c r="G50" s="486">
        <f t="shared" si="18"/>
        <v>82280.03913739328</v>
      </c>
      <c r="H50" s="455">
        <f t="shared" si="19"/>
        <v>82280.03913739328</v>
      </c>
      <c r="I50" s="475">
        <f t="shared" si="21"/>
        <v>0</v>
      </c>
      <c r="J50" s="475"/>
      <c r="K50" s="487"/>
      <c r="L50" s="478">
        <f t="shared" si="22"/>
        <v>0</v>
      </c>
      <c r="M50" s="487"/>
      <c r="N50" s="478">
        <f t="shared" si="23"/>
        <v>0</v>
      </c>
      <c r="O50" s="478">
        <f t="shared" si="24"/>
        <v>0</v>
      </c>
      <c r="P50" s="243"/>
    </row>
    <row r="51" spans="2:16">
      <c r="B51" s="160" t="str">
        <f t="shared" si="6"/>
        <v/>
      </c>
      <c r="C51" s="472">
        <f>IF(D11="","-",+C50+1)</f>
        <v>2042</v>
      </c>
      <c r="D51" s="485">
        <f>IF(F50+SUM(E$17:E50)=D$10,F50,D$10-SUM(E$17:E50))</f>
        <v>390115.8677524419</v>
      </c>
      <c r="E51" s="484">
        <f>IF(+I14&lt;F50,I14,D51)</f>
        <v>35360.511627906977</v>
      </c>
      <c r="F51" s="485">
        <f t="shared" si="20"/>
        <v>354755.35612453491</v>
      </c>
      <c r="G51" s="486">
        <f t="shared" si="18"/>
        <v>78211.588256680174</v>
      </c>
      <c r="H51" s="455">
        <f t="shared" si="19"/>
        <v>78211.588256680174</v>
      </c>
      <c r="I51" s="475">
        <f t="shared" si="21"/>
        <v>0</v>
      </c>
      <c r="J51" s="475"/>
      <c r="K51" s="487"/>
      <c r="L51" s="478">
        <f t="shared" si="22"/>
        <v>0</v>
      </c>
      <c r="M51" s="487"/>
      <c r="N51" s="478">
        <f t="shared" si="23"/>
        <v>0</v>
      </c>
      <c r="O51" s="478">
        <f t="shared" si="24"/>
        <v>0</v>
      </c>
      <c r="P51" s="243"/>
    </row>
    <row r="52" spans="2:16">
      <c r="B52" s="160" t="str">
        <f t="shared" si="6"/>
        <v/>
      </c>
      <c r="C52" s="472">
        <f>IF(D11="","-",+C51+1)</f>
        <v>2043</v>
      </c>
      <c r="D52" s="485">
        <f>IF(F51+SUM(E$17:E51)=D$10,F51,D$10-SUM(E$17:E51))</f>
        <v>354755.35612453491</v>
      </c>
      <c r="E52" s="484">
        <f>IF(+I14&lt;F51,I14,D52)</f>
        <v>35360.511627906977</v>
      </c>
      <c r="F52" s="485">
        <f t="shared" si="20"/>
        <v>319394.84449662792</v>
      </c>
      <c r="G52" s="486">
        <f t="shared" si="18"/>
        <v>74143.137375967068</v>
      </c>
      <c r="H52" s="455">
        <f t="shared" si="19"/>
        <v>74143.137375967068</v>
      </c>
      <c r="I52" s="475">
        <f t="shared" si="21"/>
        <v>0</v>
      </c>
      <c r="J52" s="475"/>
      <c r="K52" s="487"/>
      <c r="L52" s="478">
        <f t="shared" si="22"/>
        <v>0</v>
      </c>
      <c r="M52" s="487"/>
      <c r="N52" s="478">
        <f t="shared" si="23"/>
        <v>0</v>
      </c>
      <c r="O52" s="478">
        <f t="shared" si="24"/>
        <v>0</v>
      </c>
      <c r="P52" s="243"/>
    </row>
    <row r="53" spans="2:16">
      <c r="B53" s="160" t="str">
        <f t="shared" si="6"/>
        <v/>
      </c>
      <c r="C53" s="472">
        <f>IF(D11="","-",+C52+1)</f>
        <v>2044</v>
      </c>
      <c r="D53" s="485">
        <f>IF(F52+SUM(E$17:E52)=D$10,F52,D$10-SUM(E$17:E52))</f>
        <v>319394.84449662792</v>
      </c>
      <c r="E53" s="484">
        <f>IF(+I14&lt;F52,I14,D53)</f>
        <v>35360.511627906977</v>
      </c>
      <c r="F53" s="485">
        <f t="shared" si="20"/>
        <v>284034.33286872093</v>
      </c>
      <c r="G53" s="486">
        <f t="shared" si="18"/>
        <v>70074.686495253962</v>
      </c>
      <c r="H53" s="455">
        <f t="shared" si="19"/>
        <v>70074.686495253962</v>
      </c>
      <c r="I53" s="475">
        <f t="shared" si="21"/>
        <v>0</v>
      </c>
      <c r="J53" s="475"/>
      <c r="K53" s="487"/>
      <c r="L53" s="478">
        <f t="shared" si="22"/>
        <v>0</v>
      </c>
      <c r="M53" s="487"/>
      <c r="N53" s="478">
        <f t="shared" si="23"/>
        <v>0</v>
      </c>
      <c r="O53" s="478">
        <f t="shared" si="24"/>
        <v>0</v>
      </c>
      <c r="P53" s="243"/>
    </row>
    <row r="54" spans="2:16">
      <c r="B54" s="160" t="str">
        <f t="shared" si="6"/>
        <v/>
      </c>
      <c r="C54" s="472">
        <f>IF(D11="","-",+C53+1)</f>
        <v>2045</v>
      </c>
      <c r="D54" s="485">
        <f>IF(F53+SUM(E$17:E53)=D$10,F53,D$10-SUM(E$17:E53))</f>
        <v>284034.33286872093</v>
      </c>
      <c r="E54" s="484">
        <f>IF(+I14&lt;F53,I14,D54)</f>
        <v>35360.511627906977</v>
      </c>
      <c r="F54" s="485">
        <f t="shared" si="20"/>
        <v>248673.82124081394</v>
      </c>
      <c r="G54" s="486">
        <f t="shared" si="18"/>
        <v>66006.235614540841</v>
      </c>
      <c r="H54" s="455">
        <f t="shared" si="19"/>
        <v>66006.235614540841</v>
      </c>
      <c r="I54" s="475">
        <f t="shared" si="21"/>
        <v>0</v>
      </c>
      <c r="J54" s="475"/>
      <c r="K54" s="487"/>
      <c r="L54" s="478">
        <f t="shared" si="22"/>
        <v>0</v>
      </c>
      <c r="M54" s="487"/>
      <c r="N54" s="478">
        <f t="shared" si="23"/>
        <v>0</v>
      </c>
      <c r="O54" s="478">
        <f t="shared" si="24"/>
        <v>0</v>
      </c>
      <c r="P54" s="243"/>
    </row>
    <row r="55" spans="2:16">
      <c r="B55" s="160" t="str">
        <f t="shared" si="6"/>
        <v/>
      </c>
      <c r="C55" s="472">
        <f>IF(D11="","-",+C54+1)</f>
        <v>2046</v>
      </c>
      <c r="D55" s="485">
        <f>IF(F54+SUM(E$17:E54)=D$10,F54,D$10-SUM(E$17:E54))</f>
        <v>248673.82124081394</v>
      </c>
      <c r="E55" s="484">
        <f>IF(+I14&lt;F54,I14,D55)</f>
        <v>35360.511627906977</v>
      </c>
      <c r="F55" s="485">
        <f t="shared" si="20"/>
        <v>213313.30961290695</v>
      </c>
      <c r="G55" s="486">
        <f t="shared" si="18"/>
        <v>61937.78473382775</v>
      </c>
      <c r="H55" s="455">
        <f t="shared" si="19"/>
        <v>61937.78473382775</v>
      </c>
      <c r="I55" s="475">
        <f t="shared" si="21"/>
        <v>0</v>
      </c>
      <c r="J55" s="475"/>
      <c r="K55" s="487"/>
      <c r="L55" s="478">
        <f t="shared" si="22"/>
        <v>0</v>
      </c>
      <c r="M55" s="487"/>
      <c r="N55" s="478">
        <f t="shared" si="23"/>
        <v>0</v>
      </c>
      <c r="O55" s="478">
        <f t="shared" si="24"/>
        <v>0</v>
      </c>
      <c r="P55" s="243"/>
    </row>
    <row r="56" spans="2:16">
      <c r="B56" s="160" t="str">
        <f t="shared" si="6"/>
        <v/>
      </c>
      <c r="C56" s="472">
        <f>IF(D11="","-",+C55+1)</f>
        <v>2047</v>
      </c>
      <c r="D56" s="485">
        <f>IF(F55+SUM(E$17:E55)=D$10,F55,D$10-SUM(E$17:E55))</f>
        <v>213313.30961290695</v>
      </c>
      <c r="E56" s="484">
        <f>IF(+I14&lt;F55,I14,D56)</f>
        <v>35360.511627906977</v>
      </c>
      <c r="F56" s="485">
        <f t="shared" si="20"/>
        <v>177952.79798499995</v>
      </c>
      <c r="G56" s="486">
        <f t="shared" si="18"/>
        <v>57869.333853114644</v>
      </c>
      <c r="H56" s="455">
        <f t="shared" si="19"/>
        <v>57869.333853114644</v>
      </c>
      <c r="I56" s="475">
        <f t="shared" si="21"/>
        <v>0</v>
      </c>
      <c r="J56" s="475"/>
      <c r="K56" s="487"/>
      <c r="L56" s="478">
        <f t="shared" si="22"/>
        <v>0</v>
      </c>
      <c r="M56" s="487"/>
      <c r="N56" s="478">
        <f t="shared" si="23"/>
        <v>0</v>
      </c>
      <c r="O56" s="478">
        <f t="shared" si="24"/>
        <v>0</v>
      </c>
      <c r="P56" s="243"/>
    </row>
    <row r="57" spans="2:16">
      <c r="B57" s="160" t="str">
        <f t="shared" si="6"/>
        <v/>
      </c>
      <c r="C57" s="472">
        <f>IF(D11="","-",+C56+1)</f>
        <v>2048</v>
      </c>
      <c r="D57" s="485">
        <f>IF(F56+SUM(E$17:E56)=D$10,F56,D$10-SUM(E$17:E56))</f>
        <v>177952.79798499995</v>
      </c>
      <c r="E57" s="484">
        <f>IF(+I14&lt;F56,I14,D57)</f>
        <v>35360.511627906977</v>
      </c>
      <c r="F57" s="485">
        <f t="shared" si="20"/>
        <v>142592.28635709296</v>
      </c>
      <c r="G57" s="486">
        <f t="shared" si="18"/>
        <v>53800.88297240153</v>
      </c>
      <c r="H57" s="455">
        <f t="shared" si="19"/>
        <v>53800.88297240153</v>
      </c>
      <c r="I57" s="475">
        <f t="shared" si="21"/>
        <v>0</v>
      </c>
      <c r="J57" s="475"/>
      <c r="K57" s="487"/>
      <c r="L57" s="478">
        <f t="shared" si="22"/>
        <v>0</v>
      </c>
      <c r="M57" s="487"/>
      <c r="N57" s="478">
        <f t="shared" si="23"/>
        <v>0</v>
      </c>
      <c r="O57" s="478">
        <f t="shared" si="24"/>
        <v>0</v>
      </c>
      <c r="P57" s="243"/>
    </row>
    <row r="58" spans="2:16">
      <c r="B58" s="160" t="str">
        <f t="shared" si="6"/>
        <v/>
      </c>
      <c r="C58" s="472">
        <f>IF(D11="","-",+C57+1)</f>
        <v>2049</v>
      </c>
      <c r="D58" s="485">
        <f>IF(F57+SUM(E$17:E57)=D$10,F57,D$10-SUM(E$17:E57))</f>
        <v>142592.28635709296</v>
      </c>
      <c r="E58" s="484">
        <f>IF(+I14&lt;F57,I14,D58)</f>
        <v>35360.511627906977</v>
      </c>
      <c r="F58" s="485">
        <f t="shared" si="20"/>
        <v>107231.77472918599</v>
      </c>
      <c r="G58" s="486">
        <f t="shared" si="18"/>
        <v>49732.432091688424</v>
      </c>
      <c r="H58" s="455">
        <f t="shared" si="19"/>
        <v>49732.432091688424</v>
      </c>
      <c r="I58" s="475">
        <f t="shared" si="21"/>
        <v>0</v>
      </c>
      <c r="J58" s="475"/>
      <c r="K58" s="487"/>
      <c r="L58" s="478">
        <f t="shared" si="22"/>
        <v>0</v>
      </c>
      <c r="M58" s="487"/>
      <c r="N58" s="478">
        <f t="shared" si="23"/>
        <v>0</v>
      </c>
      <c r="O58" s="478">
        <f t="shared" si="24"/>
        <v>0</v>
      </c>
      <c r="P58" s="243"/>
    </row>
    <row r="59" spans="2:16">
      <c r="B59" s="160" t="str">
        <f t="shared" si="6"/>
        <v/>
      </c>
      <c r="C59" s="472">
        <f>IF(D11="","-",+C58+1)</f>
        <v>2050</v>
      </c>
      <c r="D59" s="485">
        <f>IF(F58+SUM(E$17:E58)=D$10,F58,D$10-SUM(E$17:E58))</f>
        <v>107231.77472918599</v>
      </c>
      <c r="E59" s="484">
        <f>IF(+I14&lt;F58,I14,D59)</f>
        <v>35360.511627906977</v>
      </c>
      <c r="F59" s="485">
        <f t="shared" si="20"/>
        <v>71871.263101279008</v>
      </c>
      <c r="G59" s="486">
        <f t="shared" si="18"/>
        <v>45663.981210975318</v>
      </c>
      <c r="H59" s="455">
        <f t="shared" si="19"/>
        <v>45663.981210975318</v>
      </c>
      <c r="I59" s="475">
        <f t="shared" si="21"/>
        <v>0</v>
      </c>
      <c r="J59" s="475"/>
      <c r="K59" s="487"/>
      <c r="L59" s="478">
        <f t="shared" si="22"/>
        <v>0</v>
      </c>
      <c r="M59" s="487"/>
      <c r="N59" s="478">
        <f t="shared" si="23"/>
        <v>0</v>
      </c>
      <c r="O59" s="478">
        <f t="shared" si="24"/>
        <v>0</v>
      </c>
      <c r="P59" s="243"/>
    </row>
    <row r="60" spans="2:16">
      <c r="B60" s="160" t="str">
        <f t="shared" si="6"/>
        <v/>
      </c>
      <c r="C60" s="472">
        <f>IF(D11="","-",+C59+1)</f>
        <v>2051</v>
      </c>
      <c r="D60" s="485">
        <f>IF(F59+SUM(E$17:E59)=D$10,F59,D$10-SUM(E$17:E59))</f>
        <v>71871.263101279008</v>
      </c>
      <c r="E60" s="484">
        <f>IF(+I14&lt;F59,I14,D60)</f>
        <v>35360.511627906977</v>
      </c>
      <c r="F60" s="485">
        <f t="shared" si="20"/>
        <v>36510.751473372031</v>
      </c>
      <c r="G60" s="486">
        <f t="shared" si="18"/>
        <v>41595.530330262212</v>
      </c>
      <c r="H60" s="455">
        <f t="shared" si="19"/>
        <v>41595.530330262212</v>
      </c>
      <c r="I60" s="475">
        <f t="shared" si="21"/>
        <v>0</v>
      </c>
      <c r="J60" s="475"/>
      <c r="K60" s="487"/>
      <c r="L60" s="478">
        <f t="shared" si="22"/>
        <v>0</v>
      </c>
      <c r="M60" s="487"/>
      <c r="N60" s="478">
        <f t="shared" si="23"/>
        <v>0</v>
      </c>
      <c r="O60" s="478">
        <f t="shared" si="24"/>
        <v>0</v>
      </c>
      <c r="P60" s="243"/>
    </row>
    <row r="61" spans="2:16">
      <c r="B61" s="160" t="str">
        <f t="shared" si="6"/>
        <v/>
      </c>
      <c r="C61" s="472">
        <f>IF(D11="","-",+C60+1)</f>
        <v>2052</v>
      </c>
      <c r="D61" s="485">
        <f>IF(F60+SUM(E$17:E60)=D$10,F60,D$10-SUM(E$17:E60))</f>
        <v>36510.751473372031</v>
      </c>
      <c r="E61" s="484">
        <f>IF(+I14&lt;F60,I14,D61)</f>
        <v>35360.511627906977</v>
      </c>
      <c r="F61" s="485">
        <f t="shared" si="20"/>
        <v>1150.2398454650538</v>
      </c>
      <c r="G61" s="486">
        <f t="shared" si="18"/>
        <v>37527.079449549106</v>
      </c>
      <c r="H61" s="455">
        <f t="shared" si="19"/>
        <v>37527.079449549106</v>
      </c>
      <c r="I61" s="475">
        <f t="shared" si="21"/>
        <v>0</v>
      </c>
      <c r="J61" s="475"/>
      <c r="K61" s="487"/>
      <c r="L61" s="478">
        <f t="shared" si="22"/>
        <v>0</v>
      </c>
      <c r="M61" s="487"/>
      <c r="N61" s="478">
        <f t="shared" si="23"/>
        <v>0</v>
      </c>
      <c r="O61" s="478">
        <f t="shared" si="24"/>
        <v>0</v>
      </c>
      <c r="P61" s="243"/>
    </row>
    <row r="62" spans="2:16">
      <c r="B62" s="160" t="str">
        <f t="shared" si="6"/>
        <v/>
      </c>
      <c r="C62" s="472">
        <f>IF(D11="","-",+C61+1)</f>
        <v>2053</v>
      </c>
      <c r="D62" s="485">
        <f>IF(F61+SUM(E$17:E61)=D$10,F61,D$10-SUM(E$17:E61))</f>
        <v>1150.2398454650538</v>
      </c>
      <c r="E62" s="484">
        <f>IF(+I14&lt;F61,I14,D62)</f>
        <v>1150.2398454650538</v>
      </c>
      <c r="F62" s="485">
        <f t="shared" si="20"/>
        <v>0</v>
      </c>
      <c r="G62" s="486">
        <f t="shared" si="18"/>
        <v>1216.4110361078431</v>
      </c>
      <c r="H62" s="455">
        <f t="shared" si="19"/>
        <v>1216.4110361078431</v>
      </c>
      <c r="I62" s="475">
        <f t="shared" si="21"/>
        <v>0</v>
      </c>
      <c r="J62" s="475"/>
      <c r="K62" s="487"/>
      <c r="L62" s="478">
        <f t="shared" si="22"/>
        <v>0</v>
      </c>
      <c r="M62" s="487"/>
      <c r="N62" s="478">
        <f t="shared" si="23"/>
        <v>0</v>
      </c>
      <c r="O62" s="478">
        <f t="shared" si="24"/>
        <v>0</v>
      </c>
      <c r="P62" s="243"/>
    </row>
    <row r="63" spans="2:16">
      <c r="B63" s="160" t="str">
        <f t="shared" si="6"/>
        <v/>
      </c>
      <c r="C63" s="472">
        <f>IF(D11="","-",+C62+1)</f>
        <v>2054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6">
        <f t="shared" si="18"/>
        <v>0</v>
      </c>
      <c r="H63" s="455">
        <f t="shared" si="19"/>
        <v>0</v>
      </c>
      <c r="I63" s="475">
        <f t="shared" si="21"/>
        <v>0</v>
      </c>
      <c r="J63" s="475"/>
      <c r="K63" s="487"/>
      <c r="L63" s="478">
        <f t="shared" si="22"/>
        <v>0</v>
      </c>
      <c r="M63" s="487"/>
      <c r="N63" s="478">
        <f t="shared" si="23"/>
        <v>0</v>
      </c>
      <c r="O63" s="478">
        <f t="shared" si="24"/>
        <v>0</v>
      </c>
      <c r="P63" s="243"/>
    </row>
    <row r="64" spans="2:16">
      <c r="B64" s="160" t="str">
        <f t="shared" si="6"/>
        <v/>
      </c>
      <c r="C64" s="472">
        <f>IF(D11="","-",+C63+1)</f>
        <v>2055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6">
        <f t="shared" si="18"/>
        <v>0</v>
      </c>
      <c r="H64" s="455">
        <f t="shared" si="19"/>
        <v>0</v>
      </c>
      <c r="I64" s="475">
        <f t="shared" si="21"/>
        <v>0</v>
      </c>
      <c r="J64" s="475"/>
      <c r="K64" s="487"/>
      <c r="L64" s="478">
        <f t="shared" si="22"/>
        <v>0</v>
      </c>
      <c r="M64" s="487"/>
      <c r="N64" s="478">
        <f t="shared" si="23"/>
        <v>0</v>
      </c>
      <c r="O64" s="478">
        <f t="shared" si="24"/>
        <v>0</v>
      </c>
      <c r="P64" s="243"/>
    </row>
    <row r="65" spans="2:16">
      <c r="B65" s="160" t="str">
        <f t="shared" si="6"/>
        <v/>
      </c>
      <c r="C65" s="472">
        <f>IF(D11="","-",+C64+1)</f>
        <v>2056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6">
        <f t="shared" si="18"/>
        <v>0</v>
      </c>
      <c r="H65" s="455">
        <f t="shared" si="19"/>
        <v>0</v>
      </c>
      <c r="I65" s="475">
        <f t="shared" si="21"/>
        <v>0</v>
      </c>
      <c r="J65" s="475"/>
      <c r="K65" s="487"/>
      <c r="L65" s="478">
        <f t="shared" si="22"/>
        <v>0</v>
      </c>
      <c r="M65" s="487"/>
      <c r="N65" s="478">
        <f t="shared" si="23"/>
        <v>0</v>
      </c>
      <c r="O65" s="478">
        <f t="shared" si="24"/>
        <v>0</v>
      </c>
      <c r="P65" s="243"/>
    </row>
    <row r="66" spans="2:16">
      <c r="B66" s="160" t="str">
        <f t="shared" si="6"/>
        <v/>
      </c>
      <c r="C66" s="472">
        <f>IF(D11="","-",+C65+1)</f>
        <v>2057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6">
        <f t="shared" si="18"/>
        <v>0</v>
      </c>
      <c r="H66" s="455">
        <f t="shared" si="19"/>
        <v>0</v>
      </c>
      <c r="I66" s="475">
        <f t="shared" si="21"/>
        <v>0</v>
      </c>
      <c r="J66" s="475"/>
      <c r="K66" s="487"/>
      <c r="L66" s="478">
        <f t="shared" si="22"/>
        <v>0</v>
      </c>
      <c r="M66" s="487"/>
      <c r="N66" s="478">
        <f t="shared" si="23"/>
        <v>0</v>
      </c>
      <c r="O66" s="478">
        <f t="shared" si="24"/>
        <v>0</v>
      </c>
      <c r="P66" s="243"/>
    </row>
    <row r="67" spans="2:16">
      <c r="B67" s="160" t="str">
        <f t="shared" si="6"/>
        <v/>
      </c>
      <c r="C67" s="472">
        <f>IF(D11="","-",+C66+1)</f>
        <v>2058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6">
        <f t="shared" si="18"/>
        <v>0</v>
      </c>
      <c r="H67" s="455">
        <f t="shared" si="19"/>
        <v>0</v>
      </c>
      <c r="I67" s="475">
        <f t="shared" si="21"/>
        <v>0</v>
      </c>
      <c r="J67" s="475"/>
      <c r="K67" s="487"/>
      <c r="L67" s="478">
        <f t="shared" si="22"/>
        <v>0</v>
      </c>
      <c r="M67" s="487"/>
      <c r="N67" s="478">
        <f t="shared" si="23"/>
        <v>0</v>
      </c>
      <c r="O67" s="478">
        <f t="shared" si="24"/>
        <v>0</v>
      </c>
      <c r="P67" s="243"/>
    </row>
    <row r="68" spans="2:16">
      <c r="B68" s="160" t="str">
        <f t="shared" si="6"/>
        <v/>
      </c>
      <c r="C68" s="472">
        <f>IF(D11="","-",+C67+1)</f>
        <v>2059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6">
        <f t="shared" si="18"/>
        <v>0</v>
      </c>
      <c r="H68" s="455">
        <f t="shared" si="19"/>
        <v>0</v>
      </c>
      <c r="I68" s="475">
        <f t="shared" si="21"/>
        <v>0</v>
      </c>
      <c r="J68" s="475"/>
      <c r="K68" s="487"/>
      <c r="L68" s="478">
        <f t="shared" si="22"/>
        <v>0</v>
      </c>
      <c r="M68" s="487"/>
      <c r="N68" s="478">
        <f t="shared" si="23"/>
        <v>0</v>
      </c>
      <c r="O68" s="478">
        <f t="shared" si="24"/>
        <v>0</v>
      </c>
      <c r="P68" s="243"/>
    </row>
    <row r="69" spans="2:16">
      <c r="B69" s="160" t="str">
        <f t="shared" si="6"/>
        <v/>
      </c>
      <c r="C69" s="472">
        <f>IF(D11="","-",+C68+1)</f>
        <v>2060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6">
        <f t="shared" si="18"/>
        <v>0</v>
      </c>
      <c r="H69" s="455">
        <f t="shared" si="19"/>
        <v>0</v>
      </c>
      <c r="I69" s="475">
        <f t="shared" si="21"/>
        <v>0</v>
      </c>
      <c r="J69" s="475"/>
      <c r="K69" s="487"/>
      <c r="L69" s="478">
        <f t="shared" si="22"/>
        <v>0</v>
      </c>
      <c r="M69" s="487"/>
      <c r="N69" s="478">
        <f t="shared" si="23"/>
        <v>0</v>
      </c>
      <c r="O69" s="478">
        <f t="shared" si="24"/>
        <v>0</v>
      </c>
      <c r="P69" s="243"/>
    </row>
    <row r="70" spans="2:16">
      <c r="B70" s="160" t="str">
        <f t="shared" si="6"/>
        <v/>
      </c>
      <c r="C70" s="472">
        <f>IF(D11="","-",+C69+1)</f>
        <v>2061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6">
        <f t="shared" si="18"/>
        <v>0</v>
      </c>
      <c r="H70" s="455">
        <f t="shared" si="19"/>
        <v>0</v>
      </c>
      <c r="I70" s="475">
        <f t="shared" si="21"/>
        <v>0</v>
      </c>
      <c r="J70" s="475"/>
      <c r="K70" s="487"/>
      <c r="L70" s="478">
        <f t="shared" si="22"/>
        <v>0</v>
      </c>
      <c r="M70" s="487"/>
      <c r="N70" s="478">
        <f t="shared" si="23"/>
        <v>0</v>
      </c>
      <c r="O70" s="478">
        <f t="shared" si="24"/>
        <v>0</v>
      </c>
      <c r="P70" s="243"/>
    </row>
    <row r="71" spans="2:16">
      <c r="B71" s="160" t="str">
        <f t="shared" si="6"/>
        <v/>
      </c>
      <c r="C71" s="472">
        <f>IF(D11="","-",+C70+1)</f>
        <v>2062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6">
        <f t="shared" si="18"/>
        <v>0</v>
      </c>
      <c r="H71" s="455">
        <f t="shared" si="19"/>
        <v>0</v>
      </c>
      <c r="I71" s="475">
        <f t="shared" si="21"/>
        <v>0</v>
      </c>
      <c r="J71" s="475"/>
      <c r="K71" s="487"/>
      <c r="L71" s="478">
        <f t="shared" si="22"/>
        <v>0</v>
      </c>
      <c r="M71" s="487"/>
      <c r="N71" s="478">
        <f t="shared" si="23"/>
        <v>0</v>
      </c>
      <c r="O71" s="478">
        <f t="shared" si="24"/>
        <v>0</v>
      </c>
      <c r="P71" s="243"/>
    </row>
    <row r="72" spans="2:16" ht="13.5" thickBot="1">
      <c r="B72" s="160" t="str">
        <f t="shared" si="6"/>
        <v/>
      </c>
      <c r="C72" s="489">
        <f>IF(D11="","-",+C71+1)</f>
        <v>2063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0">
        <f t="shared" si="18"/>
        <v>0</v>
      </c>
      <c r="H72" s="490">
        <f t="shared" si="19"/>
        <v>0</v>
      </c>
      <c r="I72" s="493">
        <f t="shared" si="21"/>
        <v>0</v>
      </c>
      <c r="J72" s="475"/>
      <c r="K72" s="494"/>
      <c r="L72" s="495">
        <f t="shared" si="22"/>
        <v>0</v>
      </c>
      <c r="M72" s="494"/>
      <c r="N72" s="495">
        <f t="shared" si="23"/>
        <v>0</v>
      </c>
      <c r="O72" s="495">
        <f t="shared" si="24"/>
        <v>0</v>
      </c>
      <c r="P72" s="243"/>
    </row>
    <row r="73" spans="2:16">
      <c r="C73" s="347" t="s">
        <v>77</v>
      </c>
      <c r="D73" s="348"/>
      <c r="E73" s="348">
        <f>SUM(E17:E72)</f>
        <v>1520501.9999999995</v>
      </c>
      <c r="F73" s="348"/>
      <c r="G73" s="348">
        <f>SUM(G17:G72)</f>
        <v>5751941.4651982598</v>
      </c>
      <c r="H73" s="348">
        <f>SUM(H17:H72)</f>
        <v>5751941.4651982598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>
      <c r="C75" s="496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>
      <c r="C76" s="431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>
      <c r="C77" s="431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>
      <c r="C78" s="431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8">
      <c r="B80" s="233"/>
      <c r="C80" s="499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0" t="s">
        <v>144</v>
      </c>
    </row>
    <row r="81" spans="1:16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.25">
      <c r="A83" s="415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6"/>
      <c r="M83" s="416"/>
      <c r="P83" s="497" t="str">
        <f ca="1">P1</f>
        <v>PSO Project 6 of 29</v>
      </c>
    </row>
    <row r="84" spans="1:16" ht="18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8" t="s">
        <v>151</v>
      </c>
    </row>
    <row r="85" spans="1:16" ht="18.75" thickBot="1">
      <c r="B85" s="303" t="s">
        <v>42</v>
      </c>
      <c r="C85" s="501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5.75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3"/>
    </row>
    <row r="87" spans="1:16" ht="15">
      <c r="C87" s="240" t="s">
        <v>44</v>
      </c>
      <c r="D87" s="241"/>
      <c r="E87" s="233"/>
      <c r="F87" s="233"/>
      <c r="G87" s="233"/>
      <c r="H87" s="421"/>
      <c r="I87" s="233" t="s">
        <v>45</v>
      </c>
      <c r="J87" s="233"/>
      <c r="K87" s="506"/>
      <c r="L87" s="507" t="s">
        <v>154</v>
      </c>
      <c r="M87" s="508">
        <f>IF(J92&lt;D11,0,VLOOKUP(J92,C17:O72,9))</f>
        <v>153220.62710843381</v>
      </c>
      <c r="N87" s="508">
        <f>IF(J92&lt;D11,0,VLOOKUP(J92,C17:O72,11))</f>
        <v>153220.62710843381</v>
      </c>
      <c r="O87" s="509">
        <f>+N87-M87</f>
        <v>0</v>
      </c>
      <c r="P87" s="233"/>
    </row>
    <row r="88" spans="1:16" ht="15.75">
      <c r="C88" s="245"/>
      <c r="D88" s="241"/>
      <c r="E88" s="233"/>
      <c r="F88" s="233"/>
      <c r="G88" s="233"/>
      <c r="H88" s="233"/>
      <c r="I88" s="426"/>
      <c r="J88" s="426"/>
      <c r="K88" s="510"/>
      <c r="L88" s="511" t="s">
        <v>155</v>
      </c>
      <c r="M88" s="512">
        <f>IF(J92&lt;D11,0,VLOOKUP(J92,C99:P154,6))</f>
        <v>162911.77916931669</v>
      </c>
      <c r="N88" s="512">
        <f>IF(J92&lt;D11,0,VLOOKUP(J92,C99:P154,7))</f>
        <v>162911.77916931669</v>
      </c>
      <c r="O88" s="513">
        <f>+N88-M88</f>
        <v>0</v>
      </c>
      <c r="P88" s="233"/>
    </row>
    <row r="89" spans="1:16" ht="13.5" thickBot="1">
      <c r="C89" s="431" t="s">
        <v>92</v>
      </c>
      <c r="D89" s="514" t="str">
        <f>+D7</f>
        <v>Pryor Junction 138/69 Upgrade Transf</v>
      </c>
      <c r="E89" s="233"/>
      <c r="F89" s="233"/>
      <c r="G89" s="233"/>
      <c r="H89" s="233"/>
      <c r="I89" s="242"/>
      <c r="J89" s="242"/>
      <c r="K89" s="515"/>
      <c r="L89" s="516" t="s">
        <v>156</v>
      </c>
      <c r="M89" s="517">
        <f>+M88-M87</f>
        <v>9691.1520608828869</v>
      </c>
      <c r="N89" s="517">
        <f>+N88-N87</f>
        <v>9691.1520608828869</v>
      </c>
      <c r="O89" s="518">
        <f>+O88-O87</f>
        <v>0</v>
      </c>
      <c r="P89" s="233"/>
    </row>
    <row r="90" spans="1:16" ht="13.5" thickBot="1">
      <c r="C90" s="496"/>
      <c r="D90" s="519">
        <f>D8</f>
        <v>0</v>
      </c>
      <c r="E90" s="345"/>
      <c r="F90" s="345"/>
      <c r="G90" s="345"/>
      <c r="H90" s="438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0" t="s">
        <v>93</v>
      </c>
      <c r="D91" s="521" t="str">
        <f>+D9</f>
        <v>TP2006090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1520502</v>
      </c>
      <c r="E92" s="312" t="s">
        <v>94</v>
      </c>
      <c r="H92" s="448"/>
      <c r="I92" s="448"/>
      <c r="J92" s="449">
        <f>+'PSO.WS.G.BPU.ATRR.True-up'!M16</f>
        <v>2021</v>
      </c>
      <c r="K92" s="444"/>
      <c r="L92" s="348" t="s">
        <v>95</v>
      </c>
      <c r="P92" s="243"/>
    </row>
    <row r="93" spans="1:16">
      <c r="C93" s="450" t="s">
        <v>53</v>
      </c>
      <c r="D93" s="525">
        <f>IF(D11=I10,"",D11)</f>
        <v>2008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>
      <c r="C94" s="450" t="s">
        <v>55</v>
      </c>
      <c r="D94" s="526">
        <f>IF(D11=I10,"",D12)</f>
        <v>4</v>
      </c>
      <c r="E94" s="450" t="s">
        <v>56</v>
      </c>
      <c r="F94" s="448"/>
      <c r="G94" s="448"/>
      <c r="J94" s="454">
        <f>'PSO.WS.G.BPU.ATRR.True-up'!$F$81</f>
        <v>0.11379279303146381</v>
      </c>
      <c r="K94" s="397"/>
      <c r="L94" s="148" t="s">
        <v>96</v>
      </c>
      <c r="P94" s="243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5"/>
      <c r="L95" s="348" t="s">
        <v>60</v>
      </c>
      <c r="M95" s="295"/>
      <c r="N95" s="295"/>
      <c r="O95" s="295"/>
      <c r="P95" s="243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37085</v>
      </c>
      <c r="K96" s="348"/>
      <c r="L96" s="348"/>
      <c r="M96" s="348"/>
      <c r="N96" s="348"/>
      <c r="O96" s="348"/>
      <c r="P96" s="243"/>
    </row>
    <row r="97" spans="1:16" ht="38.25">
      <c r="A97" s="375"/>
      <c r="B97" s="375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101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2008</v>
      </c>
      <c r="D99" s="473">
        <v>0</v>
      </c>
      <c r="E99" s="480">
        <v>19125</v>
      </c>
      <c r="F99" s="479">
        <v>1501348</v>
      </c>
      <c r="G99" s="537">
        <v>750764</v>
      </c>
      <c r="H99" s="538">
        <v>138367</v>
      </c>
      <c r="I99" s="539">
        <v>138367</v>
      </c>
      <c r="J99" s="478">
        <f t="shared" ref="J99:J130" si="25">+I99-H99</f>
        <v>0</v>
      </c>
      <c r="K99" s="478"/>
      <c r="L99" s="554">
        <v>138367</v>
      </c>
      <c r="M99" s="477">
        <f t="shared" ref="M99:M130" si="26">IF(L99&lt;&gt;0,+H99-L99,0)</f>
        <v>0</v>
      </c>
      <c r="N99" s="554">
        <v>138367</v>
      </c>
      <c r="O99" s="477">
        <f t="shared" ref="O99:O130" si="27">IF(N99&lt;&gt;0,+I99-N99,0)</f>
        <v>0</v>
      </c>
      <c r="P99" s="477">
        <f t="shared" ref="P99:P130" si="28">+O99-M99</f>
        <v>0</v>
      </c>
    </row>
    <row r="100" spans="1:16">
      <c r="B100" s="160" t="str">
        <f>IF(D100=F99,"","IU")</f>
        <v>IU</v>
      </c>
      <c r="C100" s="472">
        <f>IF(D93="","-",+C99+1)</f>
        <v>2009</v>
      </c>
      <c r="D100" s="473">
        <v>1501377</v>
      </c>
      <c r="E100" s="480">
        <v>27152</v>
      </c>
      <c r="F100" s="479">
        <v>1474225</v>
      </c>
      <c r="G100" s="479">
        <v>1487801</v>
      </c>
      <c r="H100" s="480">
        <v>244680.82784018715</v>
      </c>
      <c r="I100" s="481">
        <v>244680.82784018715</v>
      </c>
      <c r="J100" s="478">
        <f t="shared" si="25"/>
        <v>0</v>
      </c>
      <c r="K100" s="478"/>
      <c r="L100" s="540">
        <f t="shared" ref="L100:L105" si="29">H100</f>
        <v>244680.82784018715</v>
      </c>
      <c r="M100" s="541">
        <f t="shared" si="26"/>
        <v>0</v>
      </c>
      <c r="N100" s="540">
        <f t="shared" ref="N100:N105" si="30">I100</f>
        <v>244680.82784018715</v>
      </c>
      <c r="O100" s="478">
        <f t="shared" si="27"/>
        <v>0</v>
      </c>
      <c r="P100" s="478">
        <f t="shared" si="28"/>
        <v>0</v>
      </c>
    </row>
    <row r="101" spans="1:16">
      <c r="B101" s="160" t="str">
        <f t="shared" ref="B101:B154" si="31">IF(D101=F100,"","IU")</f>
        <v/>
      </c>
      <c r="C101" s="472">
        <f>IF(D93="","-",+C100+1)</f>
        <v>2010</v>
      </c>
      <c r="D101" s="473">
        <v>1474225</v>
      </c>
      <c r="E101" s="480">
        <v>29814</v>
      </c>
      <c r="F101" s="479">
        <v>1444411</v>
      </c>
      <c r="G101" s="479">
        <v>1459318</v>
      </c>
      <c r="H101" s="480">
        <v>264494.5477733505</v>
      </c>
      <c r="I101" s="481">
        <v>264494.5477733505</v>
      </c>
      <c r="J101" s="478">
        <f t="shared" si="25"/>
        <v>0</v>
      </c>
      <c r="K101" s="478"/>
      <c r="L101" s="540">
        <f t="shared" si="29"/>
        <v>264494.5477733505</v>
      </c>
      <c r="M101" s="541">
        <f t="shared" si="26"/>
        <v>0</v>
      </c>
      <c r="N101" s="540">
        <f t="shared" si="30"/>
        <v>264494.5477733505</v>
      </c>
      <c r="O101" s="478">
        <f t="shared" si="27"/>
        <v>0</v>
      </c>
      <c r="P101" s="478">
        <f t="shared" si="28"/>
        <v>0</v>
      </c>
    </row>
    <row r="102" spans="1:16">
      <c r="B102" s="160" t="str">
        <f t="shared" si="31"/>
        <v/>
      </c>
      <c r="C102" s="472">
        <f>IF(D93="","-",+C101+1)</f>
        <v>2011</v>
      </c>
      <c r="D102" s="473">
        <v>1444411</v>
      </c>
      <c r="E102" s="480">
        <v>29240</v>
      </c>
      <c r="F102" s="479">
        <v>1415171</v>
      </c>
      <c r="G102" s="479">
        <v>1429791</v>
      </c>
      <c r="H102" s="480">
        <v>229143.9952359481</v>
      </c>
      <c r="I102" s="481">
        <v>229143.9952359481</v>
      </c>
      <c r="J102" s="478">
        <f t="shared" si="25"/>
        <v>0</v>
      </c>
      <c r="K102" s="478"/>
      <c r="L102" s="540">
        <f t="shared" si="29"/>
        <v>229143.9952359481</v>
      </c>
      <c r="M102" s="541">
        <f t="shared" si="26"/>
        <v>0</v>
      </c>
      <c r="N102" s="540">
        <f t="shared" si="30"/>
        <v>229143.9952359481</v>
      </c>
      <c r="O102" s="478">
        <f t="shared" si="27"/>
        <v>0</v>
      </c>
      <c r="P102" s="478">
        <f t="shared" si="28"/>
        <v>0</v>
      </c>
    </row>
    <row r="103" spans="1:16">
      <c r="B103" s="160" t="str">
        <f t="shared" si="31"/>
        <v/>
      </c>
      <c r="C103" s="472">
        <f>IF(D93="","-",+C102+1)</f>
        <v>2012</v>
      </c>
      <c r="D103" s="473">
        <v>1415171</v>
      </c>
      <c r="E103" s="480">
        <v>29240</v>
      </c>
      <c r="F103" s="479">
        <v>1385931</v>
      </c>
      <c r="G103" s="479">
        <v>1400551</v>
      </c>
      <c r="H103" s="480">
        <v>230716.93888695308</v>
      </c>
      <c r="I103" s="481">
        <v>230716.93888695308</v>
      </c>
      <c r="J103" s="478">
        <v>0</v>
      </c>
      <c r="K103" s="478"/>
      <c r="L103" s="540">
        <f t="shared" si="29"/>
        <v>230716.93888695308</v>
      </c>
      <c r="M103" s="541">
        <f t="shared" ref="M103:M108" si="32">IF(L103&lt;&gt;0,+H103-L103,0)</f>
        <v>0</v>
      </c>
      <c r="N103" s="540">
        <f t="shared" si="30"/>
        <v>230716.93888695308</v>
      </c>
      <c r="O103" s="478">
        <f t="shared" ref="O103:O108" si="33">IF(N103&lt;&gt;0,+I103-N103,0)</f>
        <v>0</v>
      </c>
      <c r="P103" s="478">
        <f t="shared" ref="P103:P108" si="34">+O103-M103</f>
        <v>0</v>
      </c>
    </row>
    <row r="104" spans="1:16">
      <c r="B104" s="160" t="str">
        <f t="shared" si="31"/>
        <v/>
      </c>
      <c r="C104" s="472">
        <f>IF(D93="","-",+C103+1)</f>
        <v>2013</v>
      </c>
      <c r="D104" s="473">
        <v>1385931</v>
      </c>
      <c r="E104" s="480">
        <v>29240</v>
      </c>
      <c r="F104" s="479">
        <v>1356691</v>
      </c>
      <c r="G104" s="479">
        <v>1371311</v>
      </c>
      <c r="H104" s="480">
        <v>226625.94850487544</v>
      </c>
      <c r="I104" s="481">
        <v>226625.94850487544</v>
      </c>
      <c r="J104" s="478">
        <v>0</v>
      </c>
      <c r="K104" s="478"/>
      <c r="L104" s="540">
        <f t="shared" si="29"/>
        <v>226625.94850487544</v>
      </c>
      <c r="M104" s="541">
        <f t="shared" si="32"/>
        <v>0</v>
      </c>
      <c r="N104" s="540">
        <f t="shared" si="30"/>
        <v>226625.94850487544</v>
      </c>
      <c r="O104" s="478">
        <f t="shared" si="33"/>
        <v>0</v>
      </c>
      <c r="P104" s="478">
        <f t="shared" si="34"/>
        <v>0</v>
      </c>
    </row>
    <row r="105" spans="1:16">
      <c r="B105" s="160" t="str">
        <f t="shared" si="31"/>
        <v/>
      </c>
      <c r="C105" s="472">
        <f>IF(D93="","-",+C104+1)</f>
        <v>2014</v>
      </c>
      <c r="D105" s="473">
        <v>1356691</v>
      </c>
      <c r="E105" s="480">
        <v>29240</v>
      </c>
      <c r="F105" s="479">
        <v>1327451</v>
      </c>
      <c r="G105" s="479">
        <v>1342071</v>
      </c>
      <c r="H105" s="480">
        <v>217929.69653942893</v>
      </c>
      <c r="I105" s="481">
        <v>217929.69653942893</v>
      </c>
      <c r="J105" s="478">
        <v>0</v>
      </c>
      <c r="K105" s="478"/>
      <c r="L105" s="540">
        <f t="shared" si="29"/>
        <v>217929.69653942893</v>
      </c>
      <c r="M105" s="541">
        <f t="shared" si="32"/>
        <v>0</v>
      </c>
      <c r="N105" s="540">
        <f t="shared" si="30"/>
        <v>217929.69653942893</v>
      </c>
      <c r="O105" s="478">
        <f t="shared" si="33"/>
        <v>0</v>
      </c>
      <c r="P105" s="478">
        <f t="shared" si="34"/>
        <v>0</v>
      </c>
    </row>
    <row r="106" spans="1:16">
      <c r="B106" s="160" t="str">
        <f t="shared" si="31"/>
        <v/>
      </c>
      <c r="C106" s="472">
        <f>IF(D93="","-",+C105+1)</f>
        <v>2015</v>
      </c>
      <c r="D106" s="473">
        <v>1327451</v>
      </c>
      <c r="E106" s="480">
        <v>29240</v>
      </c>
      <c r="F106" s="479">
        <v>1298211</v>
      </c>
      <c r="G106" s="479">
        <v>1312831</v>
      </c>
      <c r="H106" s="480">
        <v>208365.23426858318</v>
      </c>
      <c r="I106" s="481">
        <v>208365.23426858318</v>
      </c>
      <c r="J106" s="478">
        <f t="shared" si="25"/>
        <v>0</v>
      </c>
      <c r="K106" s="478"/>
      <c r="L106" s="540">
        <f t="shared" ref="L106:L111" si="35">H106</f>
        <v>208365.23426858318</v>
      </c>
      <c r="M106" s="541">
        <f t="shared" si="32"/>
        <v>0</v>
      </c>
      <c r="N106" s="540">
        <f t="shared" ref="N106:N111" si="36">I106</f>
        <v>208365.23426858318</v>
      </c>
      <c r="O106" s="478">
        <f t="shared" si="33"/>
        <v>0</v>
      </c>
      <c r="P106" s="478">
        <f t="shared" si="34"/>
        <v>0</v>
      </c>
    </row>
    <row r="107" spans="1:16">
      <c r="B107" s="160" t="str">
        <f t="shared" si="31"/>
        <v/>
      </c>
      <c r="C107" s="472">
        <f>IF(D93="","-",+C106+1)</f>
        <v>2016</v>
      </c>
      <c r="D107" s="473">
        <v>1298211</v>
      </c>
      <c r="E107" s="480">
        <v>33054</v>
      </c>
      <c r="F107" s="479">
        <v>1265157</v>
      </c>
      <c r="G107" s="479">
        <v>1281684</v>
      </c>
      <c r="H107" s="480">
        <v>198283.25268027262</v>
      </c>
      <c r="I107" s="481">
        <v>198283.25268027262</v>
      </c>
      <c r="J107" s="478">
        <f t="shared" si="25"/>
        <v>0</v>
      </c>
      <c r="K107" s="478"/>
      <c r="L107" s="540">
        <f t="shared" si="35"/>
        <v>198283.25268027262</v>
      </c>
      <c r="M107" s="541">
        <f t="shared" si="32"/>
        <v>0</v>
      </c>
      <c r="N107" s="540">
        <f t="shared" si="36"/>
        <v>198283.25268027262</v>
      </c>
      <c r="O107" s="478">
        <f t="shared" si="33"/>
        <v>0</v>
      </c>
      <c r="P107" s="478">
        <f t="shared" si="34"/>
        <v>0</v>
      </c>
    </row>
    <row r="108" spans="1:16">
      <c r="B108" s="160" t="str">
        <f t="shared" si="31"/>
        <v/>
      </c>
      <c r="C108" s="472">
        <f>IF(D93="","-",+C107+1)</f>
        <v>2017</v>
      </c>
      <c r="D108" s="473">
        <v>1265157</v>
      </c>
      <c r="E108" s="480">
        <v>33054</v>
      </c>
      <c r="F108" s="479">
        <v>1232103</v>
      </c>
      <c r="G108" s="479">
        <v>1248630</v>
      </c>
      <c r="H108" s="480">
        <v>191445.86392166355</v>
      </c>
      <c r="I108" s="481">
        <v>191445.86392166355</v>
      </c>
      <c r="J108" s="478">
        <f t="shared" si="25"/>
        <v>0</v>
      </c>
      <c r="K108" s="478"/>
      <c r="L108" s="540">
        <f t="shared" si="35"/>
        <v>191445.86392166355</v>
      </c>
      <c r="M108" s="541">
        <f t="shared" si="32"/>
        <v>0</v>
      </c>
      <c r="N108" s="540">
        <f t="shared" si="36"/>
        <v>191445.86392166355</v>
      </c>
      <c r="O108" s="478">
        <f t="shared" si="33"/>
        <v>0</v>
      </c>
      <c r="P108" s="478">
        <f t="shared" si="34"/>
        <v>0</v>
      </c>
    </row>
    <row r="109" spans="1:16">
      <c r="B109" s="160" t="str">
        <f t="shared" si="31"/>
        <v/>
      </c>
      <c r="C109" s="472">
        <f>IF(D93="","-",+C108+1)</f>
        <v>2018</v>
      </c>
      <c r="D109" s="473">
        <v>1232103</v>
      </c>
      <c r="E109" s="480">
        <v>35361</v>
      </c>
      <c r="F109" s="479">
        <v>1196742</v>
      </c>
      <c r="G109" s="479">
        <v>1214422.5</v>
      </c>
      <c r="H109" s="480">
        <v>160125.3839048628</v>
      </c>
      <c r="I109" s="481">
        <v>160125.3839048628</v>
      </c>
      <c r="J109" s="478">
        <f t="shared" si="25"/>
        <v>0</v>
      </c>
      <c r="K109" s="478"/>
      <c r="L109" s="540">
        <f t="shared" si="35"/>
        <v>160125.3839048628</v>
      </c>
      <c r="M109" s="541">
        <f t="shared" ref="M109" si="37">IF(L109&lt;&gt;0,+H109-L109,0)</f>
        <v>0</v>
      </c>
      <c r="N109" s="540">
        <f t="shared" si="36"/>
        <v>160125.3839048628</v>
      </c>
      <c r="O109" s="478">
        <f t="shared" ref="O109" si="38">IF(N109&lt;&gt;0,+I109-N109,0)</f>
        <v>0</v>
      </c>
      <c r="P109" s="478">
        <f t="shared" ref="P109" si="39">+O109-M109</f>
        <v>0</v>
      </c>
    </row>
    <row r="110" spans="1:16">
      <c r="B110" s="160" t="str">
        <f t="shared" si="31"/>
        <v/>
      </c>
      <c r="C110" s="472">
        <f>IF(D93="","-",+C109+1)</f>
        <v>2019</v>
      </c>
      <c r="D110" s="473">
        <v>1196742</v>
      </c>
      <c r="E110" s="480">
        <v>37085</v>
      </c>
      <c r="F110" s="479">
        <v>1159657</v>
      </c>
      <c r="G110" s="479">
        <v>1178199.5</v>
      </c>
      <c r="H110" s="480">
        <v>158573.89397118561</v>
      </c>
      <c r="I110" s="481">
        <v>158573.89397118561</v>
      </c>
      <c r="J110" s="478">
        <f t="shared" si="25"/>
        <v>0</v>
      </c>
      <c r="K110" s="478"/>
      <c r="L110" s="540">
        <f t="shared" si="35"/>
        <v>158573.89397118561</v>
      </c>
      <c r="M110" s="541">
        <f t="shared" ref="M110" si="40">IF(L110&lt;&gt;0,+H110-L110,0)</f>
        <v>0</v>
      </c>
      <c r="N110" s="540">
        <f t="shared" si="36"/>
        <v>158573.89397118561</v>
      </c>
      <c r="O110" s="478">
        <f t="shared" si="27"/>
        <v>0</v>
      </c>
      <c r="P110" s="478">
        <f t="shared" si="28"/>
        <v>0</v>
      </c>
    </row>
    <row r="111" spans="1:16">
      <c r="B111" s="160" t="str">
        <f t="shared" si="31"/>
        <v/>
      </c>
      <c r="C111" s="472">
        <f>IF(D93="","-",+C110+1)</f>
        <v>2020</v>
      </c>
      <c r="D111" s="473">
        <v>1159657</v>
      </c>
      <c r="E111" s="480">
        <v>35361</v>
      </c>
      <c r="F111" s="479">
        <v>1124296</v>
      </c>
      <c r="G111" s="479">
        <v>1141976.5</v>
      </c>
      <c r="H111" s="480">
        <v>167027.75084448946</v>
      </c>
      <c r="I111" s="481">
        <v>167027.75084448946</v>
      </c>
      <c r="J111" s="478">
        <f t="shared" si="25"/>
        <v>0</v>
      </c>
      <c r="K111" s="478"/>
      <c r="L111" s="540">
        <f t="shared" si="35"/>
        <v>167027.75084448946</v>
      </c>
      <c r="M111" s="541">
        <f t="shared" ref="M111" si="41">IF(L111&lt;&gt;0,+H111-L111,0)</f>
        <v>0</v>
      </c>
      <c r="N111" s="540">
        <f t="shared" si="36"/>
        <v>167027.75084448946</v>
      </c>
      <c r="O111" s="478">
        <f t="shared" si="27"/>
        <v>0</v>
      </c>
      <c r="P111" s="478">
        <f t="shared" si="28"/>
        <v>0</v>
      </c>
    </row>
    <row r="112" spans="1:16">
      <c r="B112" s="160" t="str">
        <f t="shared" si="31"/>
        <v/>
      </c>
      <c r="C112" s="472">
        <f>IF(D93="","-",+C111+1)</f>
        <v>2021</v>
      </c>
      <c r="D112" s="347">
        <f>IF(F111+SUM(E$99:E111)=D$92,F111,D$92-SUM(E$99:E111))</f>
        <v>1124296</v>
      </c>
      <c r="E112" s="486">
        <f>IF(+J96&lt;F111,J96,D112)</f>
        <v>37085</v>
      </c>
      <c r="F112" s="485">
        <f t="shared" ref="F112:F130" si="42">+D112-E112</f>
        <v>1087211</v>
      </c>
      <c r="G112" s="485">
        <f t="shared" ref="G112:G130" si="43">+(F112+D112)/2</f>
        <v>1105753.5</v>
      </c>
      <c r="H112" s="486">
        <f t="shared" ref="H112:H153" si="44">(D112+F112)/2*J$94+E112</f>
        <v>162911.77916931669</v>
      </c>
      <c r="I112" s="542">
        <f t="shared" ref="I112:I153" si="45">+J$95*G112+E112</f>
        <v>162911.77916931669</v>
      </c>
      <c r="J112" s="478">
        <f t="shared" si="25"/>
        <v>0</v>
      </c>
      <c r="K112" s="478"/>
      <c r="L112" s="487"/>
      <c r="M112" s="478">
        <f t="shared" si="26"/>
        <v>0</v>
      </c>
      <c r="N112" s="487"/>
      <c r="O112" s="478">
        <f t="shared" si="27"/>
        <v>0</v>
      </c>
      <c r="P112" s="478">
        <f t="shared" si="28"/>
        <v>0</v>
      </c>
    </row>
    <row r="113" spans="2:16">
      <c r="B113" s="160" t="str">
        <f t="shared" si="31"/>
        <v/>
      </c>
      <c r="C113" s="472">
        <f>IF(D93="","-",+C112+1)</f>
        <v>2022</v>
      </c>
      <c r="D113" s="347">
        <f>IF(F112+SUM(E$99:E112)=D$92,F112,D$92-SUM(E$99:E112))</f>
        <v>1087211</v>
      </c>
      <c r="E113" s="486">
        <f>IF(+J96&lt;F112,J96,D113)</f>
        <v>37085</v>
      </c>
      <c r="F113" s="485">
        <f t="shared" si="42"/>
        <v>1050126</v>
      </c>
      <c r="G113" s="485">
        <f t="shared" si="43"/>
        <v>1068668.5</v>
      </c>
      <c r="H113" s="486">
        <f t="shared" si="44"/>
        <v>158691.77343974489</v>
      </c>
      <c r="I113" s="542">
        <f t="shared" si="45"/>
        <v>158691.77343974489</v>
      </c>
      <c r="J113" s="478">
        <f t="shared" si="25"/>
        <v>0</v>
      </c>
      <c r="K113" s="478"/>
      <c r="L113" s="487"/>
      <c r="M113" s="478">
        <f t="shared" si="26"/>
        <v>0</v>
      </c>
      <c r="N113" s="487"/>
      <c r="O113" s="478">
        <f t="shared" si="27"/>
        <v>0</v>
      </c>
      <c r="P113" s="478">
        <f t="shared" si="28"/>
        <v>0</v>
      </c>
    </row>
    <row r="114" spans="2:16">
      <c r="B114" s="160" t="str">
        <f t="shared" si="31"/>
        <v/>
      </c>
      <c r="C114" s="472">
        <f>IF(D93="","-",+C113+1)</f>
        <v>2023</v>
      </c>
      <c r="D114" s="347">
        <f>IF(F113+SUM(E$99:E113)=D$92,F113,D$92-SUM(E$99:E113))</f>
        <v>1050126</v>
      </c>
      <c r="E114" s="486">
        <f>IF(+J96&lt;F113,J96,D114)</f>
        <v>37085</v>
      </c>
      <c r="F114" s="485">
        <f t="shared" si="42"/>
        <v>1013041</v>
      </c>
      <c r="G114" s="485">
        <f t="shared" si="43"/>
        <v>1031583.5</v>
      </c>
      <c r="H114" s="486">
        <f t="shared" si="44"/>
        <v>154471.76771017304</v>
      </c>
      <c r="I114" s="542">
        <f t="shared" si="45"/>
        <v>154471.76771017304</v>
      </c>
      <c r="J114" s="478">
        <f t="shared" si="25"/>
        <v>0</v>
      </c>
      <c r="K114" s="478"/>
      <c r="L114" s="487"/>
      <c r="M114" s="478">
        <f t="shared" si="26"/>
        <v>0</v>
      </c>
      <c r="N114" s="487"/>
      <c r="O114" s="478">
        <f t="shared" si="27"/>
        <v>0</v>
      </c>
      <c r="P114" s="478">
        <f t="shared" si="28"/>
        <v>0</v>
      </c>
    </row>
    <row r="115" spans="2:16">
      <c r="B115" s="160" t="str">
        <f t="shared" si="31"/>
        <v/>
      </c>
      <c r="C115" s="472">
        <f>IF(D93="","-",+C114+1)</f>
        <v>2024</v>
      </c>
      <c r="D115" s="347">
        <f>IF(F114+SUM(E$99:E114)=D$92,F114,D$92-SUM(E$99:E114))</f>
        <v>1013041</v>
      </c>
      <c r="E115" s="486">
        <f>IF(+J96&lt;F114,J96,D115)</f>
        <v>37085</v>
      </c>
      <c r="F115" s="485">
        <f t="shared" si="42"/>
        <v>975956</v>
      </c>
      <c r="G115" s="485">
        <f t="shared" si="43"/>
        <v>994498.5</v>
      </c>
      <c r="H115" s="486">
        <f t="shared" si="44"/>
        <v>150251.76198060121</v>
      </c>
      <c r="I115" s="542">
        <f t="shared" si="45"/>
        <v>150251.76198060121</v>
      </c>
      <c r="J115" s="478">
        <f t="shared" si="25"/>
        <v>0</v>
      </c>
      <c r="K115" s="478"/>
      <c r="L115" s="487"/>
      <c r="M115" s="478">
        <f t="shared" si="26"/>
        <v>0</v>
      </c>
      <c r="N115" s="487"/>
      <c r="O115" s="478">
        <f t="shared" si="27"/>
        <v>0</v>
      </c>
      <c r="P115" s="478">
        <f t="shared" si="28"/>
        <v>0</v>
      </c>
    </row>
    <row r="116" spans="2:16">
      <c r="B116" s="160" t="str">
        <f t="shared" si="31"/>
        <v/>
      </c>
      <c r="C116" s="472">
        <f>IF(D93="","-",+C115+1)</f>
        <v>2025</v>
      </c>
      <c r="D116" s="347">
        <f>IF(F115+SUM(E$99:E115)=D$92,F115,D$92-SUM(E$99:E115))</f>
        <v>975956</v>
      </c>
      <c r="E116" s="486">
        <f>IF(+J96&lt;F115,J96,D116)</f>
        <v>37085</v>
      </c>
      <c r="F116" s="485">
        <f t="shared" si="42"/>
        <v>938871</v>
      </c>
      <c r="G116" s="485">
        <f t="shared" si="43"/>
        <v>957413.5</v>
      </c>
      <c r="H116" s="486">
        <f t="shared" si="44"/>
        <v>146031.75625102938</v>
      </c>
      <c r="I116" s="542">
        <f t="shared" si="45"/>
        <v>146031.75625102938</v>
      </c>
      <c r="J116" s="478">
        <f t="shared" si="25"/>
        <v>0</v>
      </c>
      <c r="K116" s="478"/>
      <c r="L116" s="487"/>
      <c r="M116" s="478">
        <f t="shared" si="26"/>
        <v>0</v>
      </c>
      <c r="N116" s="487"/>
      <c r="O116" s="478">
        <f t="shared" si="27"/>
        <v>0</v>
      </c>
      <c r="P116" s="478">
        <f t="shared" si="28"/>
        <v>0</v>
      </c>
    </row>
    <row r="117" spans="2:16">
      <c r="B117" s="160" t="str">
        <f t="shared" si="31"/>
        <v/>
      </c>
      <c r="C117" s="472">
        <f>IF(D93="","-",+C116+1)</f>
        <v>2026</v>
      </c>
      <c r="D117" s="347">
        <f>IF(F116+SUM(E$99:E116)=D$92,F116,D$92-SUM(E$99:E116))</f>
        <v>938871</v>
      </c>
      <c r="E117" s="486">
        <f>IF(+J96&lt;F116,J96,D117)</f>
        <v>37085</v>
      </c>
      <c r="F117" s="485">
        <f t="shared" si="42"/>
        <v>901786</v>
      </c>
      <c r="G117" s="485">
        <f t="shared" si="43"/>
        <v>920328.5</v>
      </c>
      <c r="H117" s="486">
        <f t="shared" si="44"/>
        <v>141811.75052145752</v>
      </c>
      <c r="I117" s="542">
        <f t="shared" si="45"/>
        <v>141811.75052145752</v>
      </c>
      <c r="J117" s="478">
        <f t="shared" si="25"/>
        <v>0</v>
      </c>
      <c r="K117" s="478"/>
      <c r="L117" s="487"/>
      <c r="M117" s="478">
        <f t="shared" si="26"/>
        <v>0</v>
      </c>
      <c r="N117" s="487"/>
      <c r="O117" s="478">
        <f t="shared" si="27"/>
        <v>0</v>
      </c>
      <c r="P117" s="478">
        <f t="shared" si="28"/>
        <v>0</v>
      </c>
    </row>
    <row r="118" spans="2:16">
      <c r="B118" s="160" t="str">
        <f t="shared" si="31"/>
        <v/>
      </c>
      <c r="C118" s="472">
        <f>IF(D93="","-",+C117+1)</f>
        <v>2027</v>
      </c>
      <c r="D118" s="347">
        <f>IF(F117+SUM(E$99:E117)=D$92,F117,D$92-SUM(E$99:E117))</f>
        <v>901786</v>
      </c>
      <c r="E118" s="486">
        <f>IF(+J96&lt;F117,J96,D118)</f>
        <v>37085</v>
      </c>
      <c r="F118" s="485">
        <f t="shared" si="42"/>
        <v>864701</v>
      </c>
      <c r="G118" s="485">
        <f t="shared" si="43"/>
        <v>883243.5</v>
      </c>
      <c r="H118" s="486">
        <f t="shared" si="44"/>
        <v>137591.74479188572</v>
      </c>
      <c r="I118" s="542">
        <f t="shared" si="45"/>
        <v>137591.74479188572</v>
      </c>
      <c r="J118" s="478">
        <f t="shared" si="25"/>
        <v>0</v>
      </c>
      <c r="K118" s="478"/>
      <c r="L118" s="487"/>
      <c r="M118" s="478">
        <f t="shared" si="26"/>
        <v>0</v>
      </c>
      <c r="N118" s="487"/>
      <c r="O118" s="478">
        <f t="shared" si="27"/>
        <v>0</v>
      </c>
      <c r="P118" s="478">
        <f t="shared" si="28"/>
        <v>0</v>
      </c>
    </row>
    <row r="119" spans="2:16">
      <c r="B119" s="160" t="str">
        <f t="shared" si="31"/>
        <v/>
      </c>
      <c r="C119" s="472">
        <f>IF(D93="","-",+C118+1)</f>
        <v>2028</v>
      </c>
      <c r="D119" s="347">
        <f>IF(F118+SUM(E$99:E118)=D$92,F118,D$92-SUM(E$99:E118))</f>
        <v>864701</v>
      </c>
      <c r="E119" s="486">
        <f>IF(+J96&lt;F118,J96,D119)</f>
        <v>37085</v>
      </c>
      <c r="F119" s="485">
        <f t="shared" si="42"/>
        <v>827616</v>
      </c>
      <c r="G119" s="485">
        <f t="shared" si="43"/>
        <v>846158.5</v>
      </c>
      <c r="H119" s="486">
        <f t="shared" si="44"/>
        <v>133371.73906231386</v>
      </c>
      <c r="I119" s="542">
        <f t="shared" si="45"/>
        <v>133371.73906231386</v>
      </c>
      <c r="J119" s="478">
        <f t="shared" si="25"/>
        <v>0</v>
      </c>
      <c r="K119" s="478"/>
      <c r="L119" s="487"/>
      <c r="M119" s="478">
        <f t="shared" si="26"/>
        <v>0</v>
      </c>
      <c r="N119" s="487"/>
      <c r="O119" s="478">
        <f t="shared" si="27"/>
        <v>0</v>
      </c>
      <c r="P119" s="478">
        <f t="shared" si="28"/>
        <v>0</v>
      </c>
    </row>
    <row r="120" spans="2:16">
      <c r="B120" s="160" t="str">
        <f t="shared" si="31"/>
        <v/>
      </c>
      <c r="C120" s="472">
        <f>IF(D93="","-",+C119+1)</f>
        <v>2029</v>
      </c>
      <c r="D120" s="347">
        <f>IF(F119+SUM(E$99:E119)=D$92,F119,D$92-SUM(E$99:E119))</f>
        <v>827616</v>
      </c>
      <c r="E120" s="486">
        <f>IF(+J96&lt;F119,J96,D120)</f>
        <v>37085</v>
      </c>
      <c r="F120" s="485">
        <f t="shared" si="42"/>
        <v>790531</v>
      </c>
      <c r="G120" s="485">
        <f t="shared" si="43"/>
        <v>809073.5</v>
      </c>
      <c r="H120" s="486">
        <f t="shared" si="44"/>
        <v>129151.73333274203</v>
      </c>
      <c r="I120" s="542">
        <f t="shared" si="45"/>
        <v>129151.73333274203</v>
      </c>
      <c r="J120" s="478">
        <f t="shared" si="25"/>
        <v>0</v>
      </c>
      <c r="K120" s="478"/>
      <c r="L120" s="487"/>
      <c r="M120" s="478">
        <f t="shared" si="26"/>
        <v>0</v>
      </c>
      <c r="N120" s="487"/>
      <c r="O120" s="478">
        <f t="shared" si="27"/>
        <v>0</v>
      </c>
      <c r="P120" s="478">
        <f t="shared" si="28"/>
        <v>0</v>
      </c>
    </row>
    <row r="121" spans="2:16">
      <c r="B121" s="160" t="str">
        <f t="shared" si="31"/>
        <v/>
      </c>
      <c r="C121" s="472">
        <f>IF(D93="","-",+C120+1)</f>
        <v>2030</v>
      </c>
      <c r="D121" s="347">
        <f>IF(F120+SUM(E$99:E120)=D$92,F120,D$92-SUM(E$99:E120))</f>
        <v>790531</v>
      </c>
      <c r="E121" s="486">
        <f>IF(+J96&lt;F120,J96,D121)</f>
        <v>37085</v>
      </c>
      <c r="F121" s="485">
        <f t="shared" si="42"/>
        <v>753446</v>
      </c>
      <c r="G121" s="485">
        <f t="shared" si="43"/>
        <v>771988.5</v>
      </c>
      <c r="H121" s="486">
        <f t="shared" si="44"/>
        <v>124931.72760317019</v>
      </c>
      <c r="I121" s="542">
        <f t="shared" si="45"/>
        <v>124931.72760317019</v>
      </c>
      <c r="J121" s="478">
        <f t="shared" si="25"/>
        <v>0</v>
      </c>
      <c r="K121" s="478"/>
      <c r="L121" s="487"/>
      <c r="M121" s="478">
        <f t="shared" si="26"/>
        <v>0</v>
      </c>
      <c r="N121" s="487"/>
      <c r="O121" s="478">
        <f t="shared" si="27"/>
        <v>0</v>
      </c>
      <c r="P121" s="478">
        <f t="shared" si="28"/>
        <v>0</v>
      </c>
    </row>
    <row r="122" spans="2:16">
      <c r="B122" s="160" t="str">
        <f t="shared" si="31"/>
        <v/>
      </c>
      <c r="C122" s="472">
        <f>IF(D93="","-",+C121+1)</f>
        <v>2031</v>
      </c>
      <c r="D122" s="347">
        <f>IF(F121+SUM(E$99:E121)=D$92,F121,D$92-SUM(E$99:E121))</f>
        <v>753446</v>
      </c>
      <c r="E122" s="486">
        <f>IF(+J96&lt;F121,J96,D122)</f>
        <v>37085</v>
      </c>
      <c r="F122" s="485">
        <f t="shared" si="42"/>
        <v>716361</v>
      </c>
      <c r="G122" s="485">
        <f t="shared" si="43"/>
        <v>734903.5</v>
      </c>
      <c r="H122" s="486">
        <f t="shared" si="44"/>
        <v>120711.72187359836</v>
      </c>
      <c r="I122" s="542">
        <f t="shared" si="45"/>
        <v>120711.72187359836</v>
      </c>
      <c r="J122" s="478">
        <f t="shared" si="25"/>
        <v>0</v>
      </c>
      <c r="K122" s="478"/>
      <c r="L122" s="487"/>
      <c r="M122" s="478">
        <f t="shared" si="26"/>
        <v>0</v>
      </c>
      <c r="N122" s="487"/>
      <c r="O122" s="478">
        <f t="shared" si="27"/>
        <v>0</v>
      </c>
      <c r="P122" s="478">
        <f t="shared" si="28"/>
        <v>0</v>
      </c>
    </row>
    <row r="123" spans="2:16">
      <c r="B123" s="160" t="str">
        <f t="shared" si="31"/>
        <v/>
      </c>
      <c r="C123" s="472">
        <f>IF(D93="","-",+C122+1)</f>
        <v>2032</v>
      </c>
      <c r="D123" s="347">
        <f>IF(F122+SUM(E$99:E122)=D$92,F122,D$92-SUM(E$99:E122))</f>
        <v>716361</v>
      </c>
      <c r="E123" s="486">
        <f>IF(+J96&lt;F122,J96,D123)</f>
        <v>37085</v>
      </c>
      <c r="F123" s="485">
        <f t="shared" si="42"/>
        <v>679276</v>
      </c>
      <c r="G123" s="485">
        <f t="shared" si="43"/>
        <v>697818.5</v>
      </c>
      <c r="H123" s="486">
        <f t="shared" si="44"/>
        <v>116491.71614402653</v>
      </c>
      <c r="I123" s="542">
        <f t="shared" si="45"/>
        <v>116491.71614402653</v>
      </c>
      <c r="J123" s="478">
        <f t="shared" si="25"/>
        <v>0</v>
      </c>
      <c r="K123" s="478"/>
      <c r="L123" s="487"/>
      <c r="M123" s="478">
        <f t="shared" si="26"/>
        <v>0</v>
      </c>
      <c r="N123" s="487"/>
      <c r="O123" s="478">
        <f t="shared" si="27"/>
        <v>0</v>
      </c>
      <c r="P123" s="478">
        <f t="shared" si="28"/>
        <v>0</v>
      </c>
    </row>
    <row r="124" spans="2:16">
      <c r="B124" s="160" t="str">
        <f t="shared" si="31"/>
        <v/>
      </c>
      <c r="C124" s="472">
        <f>IF(D93="","-",+C123+1)</f>
        <v>2033</v>
      </c>
      <c r="D124" s="347">
        <f>IF(F123+SUM(E$99:E123)=D$92,F123,D$92-SUM(E$99:E123))</f>
        <v>679276</v>
      </c>
      <c r="E124" s="486">
        <f>IF(+J96&lt;F123,J96,D124)</f>
        <v>37085</v>
      </c>
      <c r="F124" s="485">
        <f t="shared" si="42"/>
        <v>642191</v>
      </c>
      <c r="G124" s="485">
        <f t="shared" si="43"/>
        <v>660733.5</v>
      </c>
      <c r="H124" s="486">
        <f t="shared" si="44"/>
        <v>112271.71041445469</v>
      </c>
      <c r="I124" s="542">
        <f t="shared" si="45"/>
        <v>112271.71041445469</v>
      </c>
      <c r="J124" s="478">
        <f t="shared" si="25"/>
        <v>0</v>
      </c>
      <c r="K124" s="478"/>
      <c r="L124" s="487"/>
      <c r="M124" s="478">
        <f t="shared" si="26"/>
        <v>0</v>
      </c>
      <c r="N124" s="487"/>
      <c r="O124" s="478">
        <f t="shared" si="27"/>
        <v>0</v>
      </c>
      <c r="P124" s="478">
        <f t="shared" si="28"/>
        <v>0</v>
      </c>
    </row>
    <row r="125" spans="2:16">
      <c r="B125" s="160" t="str">
        <f t="shared" si="31"/>
        <v/>
      </c>
      <c r="C125" s="472">
        <f>IF(D93="","-",+C124+1)</f>
        <v>2034</v>
      </c>
      <c r="D125" s="347">
        <f>IF(F124+SUM(E$99:E124)=D$92,F124,D$92-SUM(E$99:E124))</f>
        <v>642191</v>
      </c>
      <c r="E125" s="486">
        <f>IF(+J96&lt;F124,J96,D125)</f>
        <v>37085</v>
      </c>
      <c r="F125" s="485">
        <f t="shared" si="42"/>
        <v>605106</v>
      </c>
      <c r="G125" s="485">
        <f t="shared" si="43"/>
        <v>623648.5</v>
      </c>
      <c r="H125" s="486">
        <f t="shared" si="44"/>
        <v>108051.70468488286</v>
      </c>
      <c r="I125" s="542">
        <f t="shared" si="45"/>
        <v>108051.70468488286</v>
      </c>
      <c r="J125" s="478">
        <f t="shared" si="25"/>
        <v>0</v>
      </c>
      <c r="K125" s="478"/>
      <c r="L125" s="487"/>
      <c r="M125" s="478">
        <f t="shared" si="26"/>
        <v>0</v>
      </c>
      <c r="N125" s="487"/>
      <c r="O125" s="478">
        <f t="shared" si="27"/>
        <v>0</v>
      </c>
      <c r="P125" s="478">
        <f t="shared" si="28"/>
        <v>0</v>
      </c>
    </row>
    <row r="126" spans="2:16">
      <c r="B126" s="160" t="str">
        <f t="shared" si="31"/>
        <v/>
      </c>
      <c r="C126" s="472">
        <f>IF(D93="","-",+C125+1)</f>
        <v>2035</v>
      </c>
      <c r="D126" s="347">
        <f>IF(F125+SUM(E$99:E125)=D$92,F125,D$92-SUM(E$99:E125))</f>
        <v>605106</v>
      </c>
      <c r="E126" s="486">
        <f>IF(+J96&lt;F125,J96,D126)</f>
        <v>37085</v>
      </c>
      <c r="F126" s="485">
        <f t="shared" si="42"/>
        <v>568021</v>
      </c>
      <c r="G126" s="485">
        <f t="shared" si="43"/>
        <v>586563.5</v>
      </c>
      <c r="H126" s="486">
        <f t="shared" si="44"/>
        <v>103831.69895531102</v>
      </c>
      <c r="I126" s="542">
        <f t="shared" si="45"/>
        <v>103831.69895531102</v>
      </c>
      <c r="J126" s="478">
        <f t="shared" si="25"/>
        <v>0</v>
      </c>
      <c r="K126" s="478"/>
      <c r="L126" s="487"/>
      <c r="M126" s="478">
        <f t="shared" si="26"/>
        <v>0</v>
      </c>
      <c r="N126" s="487"/>
      <c r="O126" s="478">
        <f t="shared" si="27"/>
        <v>0</v>
      </c>
      <c r="P126" s="478">
        <f t="shared" si="28"/>
        <v>0</v>
      </c>
    </row>
    <row r="127" spans="2:16">
      <c r="B127" s="160" t="str">
        <f t="shared" si="31"/>
        <v/>
      </c>
      <c r="C127" s="472">
        <f>IF(D93="","-",+C126+1)</f>
        <v>2036</v>
      </c>
      <c r="D127" s="347">
        <f>IF(F126+SUM(E$99:E126)=D$92,F126,D$92-SUM(E$99:E126))</f>
        <v>568021</v>
      </c>
      <c r="E127" s="486">
        <f>IF(+J96&lt;F126,J96,D127)</f>
        <v>37085</v>
      </c>
      <c r="F127" s="485">
        <f t="shared" si="42"/>
        <v>530936</v>
      </c>
      <c r="G127" s="485">
        <f t="shared" si="43"/>
        <v>549478.5</v>
      </c>
      <c r="H127" s="486">
        <f t="shared" si="44"/>
        <v>99611.693225739189</v>
      </c>
      <c r="I127" s="542">
        <f t="shared" si="45"/>
        <v>99611.693225739189</v>
      </c>
      <c r="J127" s="478">
        <f t="shared" si="25"/>
        <v>0</v>
      </c>
      <c r="K127" s="478"/>
      <c r="L127" s="487"/>
      <c r="M127" s="478">
        <f t="shared" si="26"/>
        <v>0</v>
      </c>
      <c r="N127" s="487"/>
      <c r="O127" s="478">
        <f t="shared" si="27"/>
        <v>0</v>
      </c>
      <c r="P127" s="478">
        <f t="shared" si="28"/>
        <v>0</v>
      </c>
    </row>
    <row r="128" spans="2:16">
      <c r="B128" s="160" t="str">
        <f t="shared" si="31"/>
        <v/>
      </c>
      <c r="C128" s="472">
        <f>IF(D93="","-",+C127+1)</f>
        <v>2037</v>
      </c>
      <c r="D128" s="347">
        <f>IF(F127+SUM(E$99:E127)=D$92,F127,D$92-SUM(E$99:E127))</f>
        <v>530936</v>
      </c>
      <c r="E128" s="486">
        <f>IF(+J96&lt;F127,J96,D128)</f>
        <v>37085</v>
      </c>
      <c r="F128" s="485">
        <f t="shared" si="42"/>
        <v>493851</v>
      </c>
      <c r="G128" s="485">
        <f t="shared" si="43"/>
        <v>512393.5</v>
      </c>
      <c r="H128" s="486">
        <f t="shared" si="44"/>
        <v>95391.687496167346</v>
      </c>
      <c r="I128" s="542">
        <f t="shared" si="45"/>
        <v>95391.687496167346</v>
      </c>
      <c r="J128" s="478">
        <f t="shared" si="25"/>
        <v>0</v>
      </c>
      <c r="K128" s="478"/>
      <c r="L128" s="487"/>
      <c r="M128" s="478">
        <f t="shared" si="26"/>
        <v>0</v>
      </c>
      <c r="N128" s="487"/>
      <c r="O128" s="478">
        <f t="shared" si="27"/>
        <v>0</v>
      </c>
      <c r="P128" s="478">
        <f t="shared" si="28"/>
        <v>0</v>
      </c>
    </row>
    <row r="129" spans="2:16">
      <c r="B129" s="160" t="str">
        <f t="shared" si="31"/>
        <v/>
      </c>
      <c r="C129" s="472">
        <f>IF(D93="","-",+C128+1)</f>
        <v>2038</v>
      </c>
      <c r="D129" s="347">
        <f>IF(F128+SUM(E$99:E128)=D$92,F128,D$92-SUM(E$99:E128))</f>
        <v>493851</v>
      </c>
      <c r="E129" s="486">
        <f>IF(+J96&lt;F128,J96,D129)</f>
        <v>37085</v>
      </c>
      <c r="F129" s="485">
        <f t="shared" si="42"/>
        <v>456766</v>
      </c>
      <c r="G129" s="485">
        <f t="shared" si="43"/>
        <v>475308.5</v>
      </c>
      <c r="H129" s="486">
        <f t="shared" si="44"/>
        <v>91171.681766595517</v>
      </c>
      <c r="I129" s="542">
        <f t="shared" si="45"/>
        <v>91171.681766595517</v>
      </c>
      <c r="J129" s="478">
        <f t="shared" si="25"/>
        <v>0</v>
      </c>
      <c r="K129" s="478"/>
      <c r="L129" s="487"/>
      <c r="M129" s="478">
        <f t="shared" si="26"/>
        <v>0</v>
      </c>
      <c r="N129" s="487"/>
      <c r="O129" s="478">
        <f t="shared" si="27"/>
        <v>0</v>
      </c>
      <c r="P129" s="478">
        <f t="shared" si="28"/>
        <v>0</v>
      </c>
    </row>
    <row r="130" spans="2:16">
      <c r="B130" s="160" t="str">
        <f t="shared" si="31"/>
        <v/>
      </c>
      <c r="C130" s="472">
        <f>IF(D93="","-",+C129+1)</f>
        <v>2039</v>
      </c>
      <c r="D130" s="347">
        <f>IF(F129+SUM(E$99:E129)=D$92,F129,D$92-SUM(E$99:E129))</f>
        <v>456766</v>
      </c>
      <c r="E130" s="486">
        <f>IF(+J96&lt;F129,J96,D130)</f>
        <v>37085</v>
      </c>
      <c r="F130" s="485">
        <f t="shared" si="42"/>
        <v>419681</v>
      </c>
      <c r="G130" s="485">
        <f t="shared" si="43"/>
        <v>438223.5</v>
      </c>
      <c r="H130" s="486">
        <f t="shared" si="44"/>
        <v>86951.676037023688</v>
      </c>
      <c r="I130" s="542">
        <f t="shared" si="45"/>
        <v>86951.676037023688</v>
      </c>
      <c r="J130" s="478">
        <f t="shared" si="25"/>
        <v>0</v>
      </c>
      <c r="K130" s="478"/>
      <c r="L130" s="487"/>
      <c r="M130" s="478">
        <f t="shared" si="26"/>
        <v>0</v>
      </c>
      <c r="N130" s="487"/>
      <c r="O130" s="478">
        <f t="shared" si="27"/>
        <v>0</v>
      </c>
      <c r="P130" s="478">
        <f t="shared" si="28"/>
        <v>0</v>
      </c>
    </row>
    <row r="131" spans="2:16">
      <c r="B131" s="160" t="str">
        <f t="shared" si="31"/>
        <v/>
      </c>
      <c r="C131" s="472">
        <f>IF(D93="","-",+C130+1)</f>
        <v>2040</v>
      </c>
      <c r="D131" s="347">
        <f>IF(F130+SUM(E$99:E130)=D$92,F130,D$92-SUM(E$99:E130))</f>
        <v>419681</v>
      </c>
      <c r="E131" s="486">
        <f>IF(+J96&lt;F130,J96,D131)</f>
        <v>37085</v>
      </c>
      <c r="F131" s="485">
        <f t="shared" ref="F131:F154" si="46">+D131-E131</f>
        <v>382596</v>
      </c>
      <c r="G131" s="485">
        <f t="shared" ref="G131:G154" si="47">+(F131+D131)/2</f>
        <v>401138.5</v>
      </c>
      <c r="H131" s="486">
        <f t="shared" si="44"/>
        <v>82731.670307451845</v>
      </c>
      <c r="I131" s="542">
        <f t="shared" si="45"/>
        <v>82731.670307451845</v>
      </c>
      <c r="J131" s="478">
        <f t="shared" ref="J131:J154" si="48">+I131-H131</f>
        <v>0</v>
      </c>
      <c r="K131" s="478"/>
      <c r="L131" s="487"/>
      <c r="M131" s="478">
        <f t="shared" ref="M131:M154" si="49">IF(L131&lt;&gt;0,+H131-L131,0)</f>
        <v>0</v>
      </c>
      <c r="N131" s="487"/>
      <c r="O131" s="478">
        <f t="shared" ref="O131:O154" si="50">IF(N131&lt;&gt;0,+I131-N131,0)</f>
        <v>0</v>
      </c>
      <c r="P131" s="478">
        <f t="shared" ref="P131:P154" si="51">+O131-M131</f>
        <v>0</v>
      </c>
    </row>
    <row r="132" spans="2:16">
      <c r="B132" s="160" t="str">
        <f t="shared" si="31"/>
        <v/>
      </c>
      <c r="C132" s="472">
        <f>IF(D93="","-",+C131+1)</f>
        <v>2041</v>
      </c>
      <c r="D132" s="347">
        <f>IF(F131+SUM(E$99:E131)=D$92,F131,D$92-SUM(E$99:E131))</f>
        <v>382596</v>
      </c>
      <c r="E132" s="486">
        <f>IF(+J96&lt;F131,J96,D132)</f>
        <v>37085</v>
      </c>
      <c r="F132" s="485">
        <f t="shared" si="46"/>
        <v>345511</v>
      </c>
      <c r="G132" s="485">
        <f t="shared" si="47"/>
        <v>364053.5</v>
      </c>
      <c r="H132" s="486">
        <f t="shared" si="44"/>
        <v>78511.664577880001</v>
      </c>
      <c r="I132" s="542">
        <f t="shared" si="45"/>
        <v>78511.664577880001</v>
      </c>
      <c r="J132" s="478">
        <f t="shared" si="48"/>
        <v>0</v>
      </c>
      <c r="K132" s="478"/>
      <c r="L132" s="487"/>
      <c r="M132" s="478">
        <f t="shared" si="49"/>
        <v>0</v>
      </c>
      <c r="N132" s="487"/>
      <c r="O132" s="478">
        <f t="shared" si="50"/>
        <v>0</v>
      </c>
      <c r="P132" s="478">
        <f t="shared" si="51"/>
        <v>0</v>
      </c>
    </row>
    <row r="133" spans="2:16">
      <c r="B133" s="160" t="str">
        <f t="shared" si="31"/>
        <v/>
      </c>
      <c r="C133" s="472">
        <f>IF(D93="","-",+C132+1)</f>
        <v>2042</v>
      </c>
      <c r="D133" s="347">
        <f>IF(F132+SUM(E$99:E132)=D$92,F132,D$92-SUM(E$99:E132))</f>
        <v>345511</v>
      </c>
      <c r="E133" s="486">
        <f>IF(+J96&lt;F132,J96,D133)</f>
        <v>37085</v>
      </c>
      <c r="F133" s="485">
        <f t="shared" si="46"/>
        <v>308426</v>
      </c>
      <c r="G133" s="485">
        <f t="shared" si="47"/>
        <v>326968.5</v>
      </c>
      <c r="H133" s="486">
        <f t="shared" si="44"/>
        <v>74291.658848308172</v>
      </c>
      <c r="I133" s="542">
        <f t="shared" si="45"/>
        <v>74291.658848308172</v>
      </c>
      <c r="J133" s="478">
        <f t="shared" si="48"/>
        <v>0</v>
      </c>
      <c r="K133" s="478"/>
      <c r="L133" s="487"/>
      <c r="M133" s="478">
        <f t="shared" si="49"/>
        <v>0</v>
      </c>
      <c r="N133" s="487"/>
      <c r="O133" s="478">
        <f t="shared" si="50"/>
        <v>0</v>
      </c>
      <c r="P133" s="478">
        <f t="shared" si="51"/>
        <v>0</v>
      </c>
    </row>
    <row r="134" spans="2:16">
      <c r="B134" s="160" t="str">
        <f t="shared" si="31"/>
        <v/>
      </c>
      <c r="C134" s="472">
        <f>IF(D93="","-",+C133+1)</f>
        <v>2043</v>
      </c>
      <c r="D134" s="347">
        <f>IF(F133+SUM(E$99:E133)=D$92,F133,D$92-SUM(E$99:E133))</f>
        <v>308426</v>
      </c>
      <c r="E134" s="486">
        <f>IF(+J96&lt;F133,J96,D134)</f>
        <v>37085</v>
      </c>
      <c r="F134" s="485">
        <f t="shared" si="46"/>
        <v>271341</v>
      </c>
      <c r="G134" s="485">
        <f t="shared" si="47"/>
        <v>289883.5</v>
      </c>
      <c r="H134" s="486">
        <f t="shared" si="44"/>
        <v>70071.653118736343</v>
      </c>
      <c r="I134" s="542">
        <f t="shared" si="45"/>
        <v>70071.653118736343</v>
      </c>
      <c r="J134" s="478">
        <f t="shared" si="48"/>
        <v>0</v>
      </c>
      <c r="K134" s="478"/>
      <c r="L134" s="487"/>
      <c r="M134" s="478">
        <f t="shared" si="49"/>
        <v>0</v>
      </c>
      <c r="N134" s="487"/>
      <c r="O134" s="478">
        <f t="shared" si="50"/>
        <v>0</v>
      </c>
      <c r="P134" s="478">
        <f t="shared" si="51"/>
        <v>0</v>
      </c>
    </row>
    <row r="135" spans="2:16">
      <c r="B135" s="160" t="str">
        <f t="shared" si="31"/>
        <v/>
      </c>
      <c r="C135" s="472">
        <f>IF(D93="","-",+C134+1)</f>
        <v>2044</v>
      </c>
      <c r="D135" s="347">
        <f>IF(F134+SUM(E$99:E134)=D$92,F134,D$92-SUM(E$99:E134))</f>
        <v>271341</v>
      </c>
      <c r="E135" s="486">
        <f>IF(+J96&lt;F134,J96,D135)</f>
        <v>37085</v>
      </c>
      <c r="F135" s="485">
        <f t="shared" si="46"/>
        <v>234256</v>
      </c>
      <c r="G135" s="485">
        <f t="shared" si="47"/>
        <v>252798.5</v>
      </c>
      <c r="H135" s="486">
        <f t="shared" si="44"/>
        <v>65851.6473891645</v>
      </c>
      <c r="I135" s="542">
        <f t="shared" si="45"/>
        <v>65851.6473891645</v>
      </c>
      <c r="J135" s="478">
        <f t="shared" si="48"/>
        <v>0</v>
      </c>
      <c r="K135" s="478"/>
      <c r="L135" s="487"/>
      <c r="M135" s="478">
        <f t="shared" si="49"/>
        <v>0</v>
      </c>
      <c r="N135" s="487"/>
      <c r="O135" s="478">
        <f t="shared" si="50"/>
        <v>0</v>
      </c>
      <c r="P135" s="478">
        <f t="shared" si="51"/>
        <v>0</v>
      </c>
    </row>
    <row r="136" spans="2:16">
      <c r="B136" s="160" t="str">
        <f t="shared" si="31"/>
        <v/>
      </c>
      <c r="C136" s="472">
        <f>IF(D93="","-",+C135+1)</f>
        <v>2045</v>
      </c>
      <c r="D136" s="347">
        <f>IF(F135+SUM(E$99:E135)=D$92,F135,D$92-SUM(E$99:E135))</f>
        <v>234256</v>
      </c>
      <c r="E136" s="486">
        <f>IF(+J96&lt;F135,J96,D136)</f>
        <v>37085</v>
      </c>
      <c r="F136" s="485">
        <f t="shared" si="46"/>
        <v>197171</v>
      </c>
      <c r="G136" s="485">
        <f t="shared" si="47"/>
        <v>215713.5</v>
      </c>
      <c r="H136" s="486">
        <f t="shared" si="44"/>
        <v>61631.641659592671</v>
      </c>
      <c r="I136" s="542">
        <f t="shared" si="45"/>
        <v>61631.641659592671</v>
      </c>
      <c r="J136" s="478">
        <f t="shared" si="48"/>
        <v>0</v>
      </c>
      <c r="K136" s="478"/>
      <c r="L136" s="487"/>
      <c r="M136" s="478">
        <f t="shared" si="49"/>
        <v>0</v>
      </c>
      <c r="N136" s="487"/>
      <c r="O136" s="478">
        <f t="shared" si="50"/>
        <v>0</v>
      </c>
      <c r="P136" s="478">
        <f t="shared" si="51"/>
        <v>0</v>
      </c>
    </row>
    <row r="137" spans="2:16">
      <c r="B137" s="160" t="str">
        <f t="shared" si="31"/>
        <v/>
      </c>
      <c r="C137" s="472">
        <f>IF(D93="","-",+C136+1)</f>
        <v>2046</v>
      </c>
      <c r="D137" s="347">
        <f>IF(F136+SUM(E$99:E136)=D$92,F136,D$92-SUM(E$99:E136))</f>
        <v>197171</v>
      </c>
      <c r="E137" s="486">
        <f>IF(+J96&lt;F136,J96,D137)</f>
        <v>37085</v>
      </c>
      <c r="F137" s="485">
        <f t="shared" si="46"/>
        <v>160086</v>
      </c>
      <c r="G137" s="485">
        <f t="shared" si="47"/>
        <v>178628.5</v>
      </c>
      <c r="H137" s="486">
        <f t="shared" si="44"/>
        <v>57411.635930020828</v>
      </c>
      <c r="I137" s="542">
        <f t="shared" si="45"/>
        <v>57411.635930020828</v>
      </c>
      <c r="J137" s="478">
        <f t="shared" si="48"/>
        <v>0</v>
      </c>
      <c r="K137" s="478"/>
      <c r="L137" s="487"/>
      <c r="M137" s="478">
        <f t="shared" si="49"/>
        <v>0</v>
      </c>
      <c r="N137" s="487"/>
      <c r="O137" s="478">
        <f t="shared" si="50"/>
        <v>0</v>
      </c>
      <c r="P137" s="478">
        <f t="shared" si="51"/>
        <v>0</v>
      </c>
    </row>
    <row r="138" spans="2:16">
      <c r="B138" s="160" t="str">
        <f t="shared" si="31"/>
        <v/>
      </c>
      <c r="C138" s="472">
        <f>IF(D93="","-",+C137+1)</f>
        <v>2047</v>
      </c>
      <c r="D138" s="347">
        <f>IF(F137+SUM(E$99:E137)=D$92,F137,D$92-SUM(E$99:E137))</f>
        <v>160086</v>
      </c>
      <c r="E138" s="486">
        <f>IF(+J96&lt;F137,J96,D138)</f>
        <v>37085</v>
      </c>
      <c r="F138" s="485">
        <f t="shared" si="46"/>
        <v>123001</v>
      </c>
      <c r="G138" s="485">
        <f t="shared" si="47"/>
        <v>141543.5</v>
      </c>
      <c r="H138" s="486">
        <f t="shared" si="44"/>
        <v>53191.630200448999</v>
      </c>
      <c r="I138" s="542">
        <f t="shared" si="45"/>
        <v>53191.630200448999</v>
      </c>
      <c r="J138" s="478">
        <f t="shared" si="48"/>
        <v>0</v>
      </c>
      <c r="K138" s="478"/>
      <c r="L138" s="487"/>
      <c r="M138" s="478">
        <f t="shared" si="49"/>
        <v>0</v>
      </c>
      <c r="N138" s="487"/>
      <c r="O138" s="478">
        <f t="shared" si="50"/>
        <v>0</v>
      </c>
      <c r="P138" s="478">
        <f t="shared" si="51"/>
        <v>0</v>
      </c>
    </row>
    <row r="139" spans="2:16">
      <c r="B139" s="160" t="str">
        <f t="shared" si="31"/>
        <v/>
      </c>
      <c r="C139" s="472">
        <f>IF(D93="","-",+C138+1)</f>
        <v>2048</v>
      </c>
      <c r="D139" s="347">
        <f>IF(F138+SUM(E$99:E138)=D$92,F138,D$92-SUM(E$99:E138))</f>
        <v>123001</v>
      </c>
      <c r="E139" s="486">
        <f>IF(+J96&lt;F138,J96,D139)</f>
        <v>37085</v>
      </c>
      <c r="F139" s="485">
        <f t="shared" si="46"/>
        <v>85916</v>
      </c>
      <c r="G139" s="485">
        <f t="shared" si="47"/>
        <v>104458.5</v>
      </c>
      <c r="H139" s="486">
        <f t="shared" si="44"/>
        <v>48971.624470877163</v>
      </c>
      <c r="I139" s="542">
        <f t="shared" si="45"/>
        <v>48971.624470877163</v>
      </c>
      <c r="J139" s="478">
        <f t="shared" si="48"/>
        <v>0</v>
      </c>
      <c r="K139" s="478"/>
      <c r="L139" s="487"/>
      <c r="M139" s="478">
        <f t="shared" si="49"/>
        <v>0</v>
      </c>
      <c r="N139" s="487"/>
      <c r="O139" s="478">
        <f t="shared" si="50"/>
        <v>0</v>
      </c>
      <c r="P139" s="478">
        <f t="shared" si="51"/>
        <v>0</v>
      </c>
    </row>
    <row r="140" spans="2:16">
      <c r="B140" s="160" t="str">
        <f t="shared" si="31"/>
        <v/>
      </c>
      <c r="C140" s="472">
        <f>IF(D93="","-",+C139+1)</f>
        <v>2049</v>
      </c>
      <c r="D140" s="347">
        <f>IF(F139+SUM(E$99:E139)=D$92,F139,D$92-SUM(E$99:E139))</f>
        <v>85916</v>
      </c>
      <c r="E140" s="486">
        <f>IF(+J96&lt;F139,J96,D140)</f>
        <v>37085</v>
      </c>
      <c r="F140" s="485">
        <f t="shared" si="46"/>
        <v>48831</v>
      </c>
      <c r="G140" s="485">
        <f t="shared" si="47"/>
        <v>67373.5</v>
      </c>
      <c r="H140" s="486">
        <f t="shared" si="44"/>
        <v>44751.618741305327</v>
      </c>
      <c r="I140" s="542">
        <f t="shared" si="45"/>
        <v>44751.618741305327</v>
      </c>
      <c r="J140" s="478">
        <f t="shared" si="48"/>
        <v>0</v>
      </c>
      <c r="K140" s="478"/>
      <c r="L140" s="487"/>
      <c r="M140" s="478">
        <f t="shared" si="49"/>
        <v>0</v>
      </c>
      <c r="N140" s="487"/>
      <c r="O140" s="478">
        <f t="shared" si="50"/>
        <v>0</v>
      </c>
      <c r="P140" s="478">
        <f t="shared" si="51"/>
        <v>0</v>
      </c>
    </row>
    <row r="141" spans="2:16">
      <c r="B141" s="160" t="str">
        <f t="shared" si="31"/>
        <v/>
      </c>
      <c r="C141" s="472">
        <f>IF(D93="","-",+C140+1)</f>
        <v>2050</v>
      </c>
      <c r="D141" s="347">
        <f>IF(F140+SUM(E$99:E140)=D$92,F140,D$92-SUM(E$99:E140))</f>
        <v>48831</v>
      </c>
      <c r="E141" s="486">
        <f>IF(+J96&lt;F140,J96,D141)</f>
        <v>37085</v>
      </c>
      <c r="F141" s="485">
        <f t="shared" si="46"/>
        <v>11746</v>
      </c>
      <c r="G141" s="485">
        <f t="shared" si="47"/>
        <v>30288.5</v>
      </c>
      <c r="H141" s="486">
        <f t="shared" si="44"/>
        <v>40531.613011733491</v>
      </c>
      <c r="I141" s="542">
        <f t="shared" si="45"/>
        <v>40531.613011733491</v>
      </c>
      <c r="J141" s="478">
        <f t="shared" si="48"/>
        <v>0</v>
      </c>
      <c r="K141" s="478"/>
      <c r="L141" s="487"/>
      <c r="M141" s="478">
        <f t="shared" si="49"/>
        <v>0</v>
      </c>
      <c r="N141" s="487"/>
      <c r="O141" s="478">
        <f t="shared" si="50"/>
        <v>0</v>
      </c>
      <c r="P141" s="478">
        <f t="shared" si="51"/>
        <v>0</v>
      </c>
    </row>
    <row r="142" spans="2:16">
      <c r="B142" s="160" t="str">
        <f t="shared" si="31"/>
        <v/>
      </c>
      <c r="C142" s="472">
        <f>IF(D93="","-",+C141+1)</f>
        <v>2051</v>
      </c>
      <c r="D142" s="347">
        <f>IF(F141+SUM(E$99:E141)=D$92,F141,D$92-SUM(E$99:E141))</f>
        <v>11746</v>
      </c>
      <c r="E142" s="486">
        <f>IF(+J96&lt;F141,J96,D142)</f>
        <v>11746</v>
      </c>
      <c r="F142" s="485">
        <f t="shared" si="46"/>
        <v>0</v>
      </c>
      <c r="G142" s="485">
        <f t="shared" si="47"/>
        <v>5873</v>
      </c>
      <c r="H142" s="486">
        <f t="shared" si="44"/>
        <v>12414.305073473786</v>
      </c>
      <c r="I142" s="542">
        <f t="shared" si="45"/>
        <v>12414.305073473786</v>
      </c>
      <c r="J142" s="478">
        <f t="shared" si="48"/>
        <v>0</v>
      </c>
      <c r="K142" s="478"/>
      <c r="L142" s="487"/>
      <c r="M142" s="478">
        <f t="shared" si="49"/>
        <v>0</v>
      </c>
      <c r="N142" s="487"/>
      <c r="O142" s="478">
        <f t="shared" si="50"/>
        <v>0</v>
      </c>
      <c r="P142" s="478">
        <f t="shared" si="51"/>
        <v>0</v>
      </c>
    </row>
    <row r="143" spans="2:16">
      <c r="B143" s="160" t="str">
        <f t="shared" si="31"/>
        <v/>
      </c>
      <c r="C143" s="472">
        <f>IF(D93="","-",+C142+1)</f>
        <v>2052</v>
      </c>
      <c r="D143" s="347">
        <f>IF(F142+SUM(E$99:E142)=D$92,F142,D$92-SUM(E$99:E142))</f>
        <v>0</v>
      </c>
      <c r="E143" s="486">
        <f>IF(+J96&lt;F142,J96,D143)</f>
        <v>0</v>
      </c>
      <c r="F143" s="485">
        <f t="shared" si="46"/>
        <v>0</v>
      </c>
      <c r="G143" s="485">
        <f t="shared" si="47"/>
        <v>0</v>
      </c>
      <c r="H143" s="486">
        <f t="shared" si="44"/>
        <v>0</v>
      </c>
      <c r="I143" s="542">
        <f t="shared" si="45"/>
        <v>0</v>
      </c>
      <c r="J143" s="478">
        <f t="shared" si="48"/>
        <v>0</v>
      </c>
      <c r="K143" s="478"/>
      <c r="L143" s="487"/>
      <c r="M143" s="478">
        <f t="shared" si="49"/>
        <v>0</v>
      </c>
      <c r="N143" s="487"/>
      <c r="O143" s="478">
        <f t="shared" si="50"/>
        <v>0</v>
      </c>
      <c r="P143" s="478">
        <f t="shared" si="51"/>
        <v>0</v>
      </c>
    </row>
    <row r="144" spans="2:16">
      <c r="B144" s="160" t="str">
        <f t="shared" si="31"/>
        <v/>
      </c>
      <c r="C144" s="472">
        <f>IF(D93="","-",+C143+1)</f>
        <v>2053</v>
      </c>
      <c r="D144" s="347">
        <f>IF(F143+SUM(E$99:E143)=D$92,F143,D$92-SUM(E$99:E143))</f>
        <v>0</v>
      </c>
      <c r="E144" s="486">
        <f>IF(+J96&lt;F143,J96,D144)</f>
        <v>0</v>
      </c>
      <c r="F144" s="485">
        <f t="shared" si="46"/>
        <v>0</v>
      </c>
      <c r="G144" s="485">
        <f t="shared" si="47"/>
        <v>0</v>
      </c>
      <c r="H144" s="486">
        <f t="shared" si="44"/>
        <v>0</v>
      </c>
      <c r="I144" s="542">
        <f t="shared" si="45"/>
        <v>0</v>
      </c>
      <c r="J144" s="478">
        <f t="shared" si="48"/>
        <v>0</v>
      </c>
      <c r="K144" s="478"/>
      <c r="L144" s="487"/>
      <c r="M144" s="478">
        <f t="shared" si="49"/>
        <v>0</v>
      </c>
      <c r="N144" s="487"/>
      <c r="O144" s="478">
        <f t="shared" si="50"/>
        <v>0</v>
      </c>
      <c r="P144" s="478">
        <f t="shared" si="51"/>
        <v>0</v>
      </c>
    </row>
    <row r="145" spans="2:16">
      <c r="B145" s="160" t="str">
        <f t="shared" si="31"/>
        <v/>
      </c>
      <c r="C145" s="472">
        <f>IF(D93="","-",+C144+1)</f>
        <v>2054</v>
      </c>
      <c r="D145" s="347">
        <f>IF(F144+SUM(E$99:E144)=D$92,F144,D$92-SUM(E$99:E144))</f>
        <v>0</v>
      </c>
      <c r="E145" s="486">
        <f>IF(+J96&lt;F144,J96,D145)</f>
        <v>0</v>
      </c>
      <c r="F145" s="485">
        <f t="shared" si="46"/>
        <v>0</v>
      </c>
      <c r="G145" s="485">
        <f t="shared" si="47"/>
        <v>0</v>
      </c>
      <c r="H145" s="486">
        <f t="shared" si="44"/>
        <v>0</v>
      </c>
      <c r="I145" s="542">
        <f t="shared" si="45"/>
        <v>0</v>
      </c>
      <c r="J145" s="478">
        <f t="shared" si="48"/>
        <v>0</v>
      </c>
      <c r="K145" s="478"/>
      <c r="L145" s="487"/>
      <c r="M145" s="478">
        <f t="shared" si="49"/>
        <v>0</v>
      </c>
      <c r="N145" s="487"/>
      <c r="O145" s="478">
        <f t="shared" si="50"/>
        <v>0</v>
      </c>
      <c r="P145" s="478">
        <f t="shared" si="51"/>
        <v>0</v>
      </c>
    </row>
    <row r="146" spans="2:16">
      <c r="B146" s="160" t="str">
        <f t="shared" si="31"/>
        <v/>
      </c>
      <c r="C146" s="472">
        <f>IF(D93="","-",+C145+1)</f>
        <v>2055</v>
      </c>
      <c r="D146" s="347">
        <f>IF(F145+SUM(E$99:E145)=D$92,F145,D$92-SUM(E$99:E145))</f>
        <v>0</v>
      </c>
      <c r="E146" s="486">
        <f>IF(+J96&lt;F145,J96,D146)</f>
        <v>0</v>
      </c>
      <c r="F146" s="485">
        <f t="shared" si="46"/>
        <v>0</v>
      </c>
      <c r="G146" s="485">
        <f t="shared" si="47"/>
        <v>0</v>
      </c>
      <c r="H146" s="486">
        <f t="shared" si="44"/>
        <v>0</v>
      </c>
      <c r="I146" s="542">
        <f t="shared" si="45"/>
        <v>0</v>
      </c>
      <c r="J146" s="478">
        <f t="shared" si="48"/>
        <v>0</v>
      </c>
      <c r="K146" s="478"/>
      <c r="L146" s="487"/>
      <c r="M146" s="478">
        <f t="shared" si="49"/>
        <v>0</v>
      </c>
      <c r="N146" s="487"/>
      <c r="O146" s="478">
        <f t="shared" si="50"/>
        <v>0</v>
      </c>
      <c r="P146" s="478">
        <f t="shared" si="51"/>
        <v>0</v>
      </c>
    </row>
    <row r="147" spans="2:16">
      <c r="B147" s="160" t="str">
        <f t="shared" si="31"/>
        <v/>
      </c>
      <c r="C147" s="472">
        <f>IF(D93="","-",+C146+1)</f>
        <v>2056</v>
      </c>
      <c r="D147" s="347">
        <f>IF(F146+SUM(E$99:E146)=D$92,F146,D$92-SUM(E$99:E146))</f>
        <v>0</v>
      </c>
      <c r="E147" s="486">
        <f>IF(+J96&lt;F146,J96,D147)</f>
        <v>0</v>
      </c>
      <c r="F147" s="485">
        <f t="shared" si="46"/>
        <v>0</v>
      </c>
      <c r="G147" s="485">
        <f t="shared" si="47"/>
        <v>0</v>
      </c>
      <c r="H147" s="486">
        <f t="shared" si="44"/>
        <v>0</v>
      </c>
      <c r="I147" s="542">
        <f t="shared" si="45"/>
        <v>0</v>
      </c>
      <c r="J147" s="478">
        <f t="shared" si="48"/>
        <v>0</v>
      </c>
      <c r="K147" s="478"/>
      <c r="L147" s="487"/>
      <c r="M147" s="478">
        <f t="shared" si="49"/>
        <v>0</v>
      </c>
      <c r="N147" s="487"/>
      <c r="O147" s="478">
        <f t="shared" si="50"/>
        <v>0</v>
      </c>
      <c r="P147" s="478">
        <f t="shared" si="51"/>
        <v>0</v>
      </c>
    </row>
    <row r="148" spans="2:16">
      <c r="B148" s="160" t="str">
        <f t="shared" si="31"/>
        <v/>
      </c>
      <c r="C148" s="472">
        <f>IF(D93="","-",+C147+1)</f>
        <v>2057</v>
      </c>
      <c r="D148" s="347">
        <f>IF(F147+SUM(E$99:E147)=D$92,F147,D$92-SUM(E$99:E147))</f>
        <v>0</v>
      </c>
      <c r="E148" s="486">
        <f>IF(+J96&lt;F147,J96,D148)</f>
        <v>0</v>
      </c>
      <c r="F148" s="485">
        <f t="shared" si="46"/>
        <v>0</v>
      </c>
      <c r="G148" s="485">
        <f t="shared" si="47"/>
        <v>0</v>
      </c>
      <c r="H148" s="486">
        <f t="shared" si="44"/>
        <v>0</v>
      </c>
      <c r="I148" s="542">
        <f t="shared" si="45"/>
        <v>0</v>
      </c>
      <c r="J148" s="478">
        <f t="shared" si="48"/>
        <v>0</v>
      </c>
      <c r="K148" s="478"/>
      <c r="L148" s="487"/>
      <c r="M148" s="478">
        <f t="shared" si="49"/>
        <v>0</v>
      </c>
      <c r="N148" s="487"/>
      <c r="O148" s="478">
        <f t="shared" si="50"/>
        <v>0</v>
      </c>
      <c r="P148" s="478">
        <f t="shared" si="51"/>
        <v>0</v>
      </c>
    </row>
    <row r="149" spans="2:16">
      <c r="B149" s="160" t="str">
        <f t="shared" si="31"/>
        <v/>
      </c>
      <c r="C149" s="472">
        <f>IF(D93="","-",+C148+1)</f>
        <v>2058</v>
      </c>
      <c r="D149" s="347">
        <f>IF(F148+SUM(E$99:E148)=D$92,F148,D$92-SUM(E$99:E148))</f>
        <v>0</v>
      </c>
      <c r="E149" s="486">
        <f>IF(+J96&lt;F148,J96,D149)</f>
        <v>0</v>
      </c>
      <c r="F149" s="485">
        <f t="shared" si="46"/>
        <v>0</v>
      </c>
      <c r="G149" s="485">
        <f t="shared" si="47"/>
        <v>0</v>
      </c>
      <c r="H149" s="486">
        <f t="shared" si="44"/>
        <v>0</v>
      </c>
      <c r="I149" s="542">
        <f t="shared" si="45"/>
        <v>0</v>
      </c>
      <c r="J149" s="478">
        <f t="shared" si="48"/>
        <v>0</v>
      </c>
      <c r="K149" s="478"/>
      <c r="L149" s="487"/>
      <c r="M149" s="478">
        <f t="shared" si="49"/>
        <v>0</v>
      </c>
      <c r="N149" s="487"/>
      <c r="O149" s="478">
        <f t="shared" si="50"/>
        <v>0</v>
      </c>
      <c r="P149" s="478">
        <f t="shared" si="51"/>
        <v>0</v>
      </c>
    </row>
    <row r="150" spans="2:16">
      <c r="B150" s="160" t="str">
        <f t="shared" si="31"/>
        <v/>
      </c>
      <c r="C150" s="472">
        <f>IF(D93="","-",+C149+1)</f>
        <v>2059</v>
      </c>
      <c r="D150" s="347">
        <f>IF(F149+SUM(E$99:E149)=D$92,F149,D$92-SUM(E$99:E149))</f>
        <v>0</v>
      </c>
      <c r="E150" s="486">
        <f>IF(+J96&lt;F149,J96,D150)</f>
        <v>0</v>
      </c>
      <c r="F150" s="485">
        <f t="shared" si="46"/>
        <v>0</v>
      </c>
      <c r="G150" s="485">
        <f t="shared" si="47"/>
        <v>0</v>
      </c>
      <c r="H150" s="486">
        <f t="shared" si="44"/>
        <v>0</v>
      </c>
      <c r="I150" s="542">
        <f t="shared" si="45"/>
        <v>0</v>
      </c>
      <c r="J150" s="478">
        <f t="shared" si="48"/>
        <v>0</v>
      </c>
      <c r="K150" s="478"/>
      <c r="L150" s="487"/>
      <c r="M150" s="478">
        <f t="shared" si="49"/>
        <v>0</v>
      </c>
      <c r="N150" s="487"/>
      <c r="O150" s="478">
        <f t="shared" si="50"/>
        <v>0</v>
      </c>
      <c r="P150" s="478">
        <f t="shared" si="51"/>
        <v>0</v>
      </c>
    </row>
    <row r="151" spans="2:16">
      <c r="B151" s="160" t="str">
        <f t="shared" si="31"/>
        <v/>
      </c>
      <c r="C151" s="472">
        <f>IF(D93="","-",+C150+1)</f>
        <v>2060</v>
      </c>
      <c r="D151" s="347">
        <f>IF(F150+SUM(E$99:E150)=D$92,F150,D$92-SUM(E$99:E150))</f>
        <v>0</v>
      </c>
      <c r="E151" s="486">
        <f>IF(+J96&lt;F150,J96,D151)</f>
        <v>0</v>
      </c>
      <c r="F151" s="485">
        <f t="shared" si="46"/>
        <v>0</v>
      </c>
      <c r="G151" s="485">
        <f t="shared" si="47"/>
        <v>0</v>
      </c>
      <c r="H151" s="486">
        <f t="shared" si="44"/>
        <v>0</v>
      </c>
      <c r="I151" s="542">
        <f t="shared" si="45"/>
        <v>0</v>
      </c>
      <c r="J151" s="478">
        <f t="shared" si="48"/>
        <v>0</v>
      </c>
      <c r="K151" s="478"/>
      <c r="L151" s="487"/>
      <c r="M151" s="478">
        <f t="shared" si="49"/>
        <v>0</v>
      </c>
      <c r="N151" s="487"/>
      <c r="O151" s="478">
        <f t="shared" si="50"/>
        <v>0</v>
      </c>
      <c r="P151" s="478">
        <f t="shared" si="51"/>
        <v>0</v>
      </c>
    </row>
    <row r="152" spans="2:16">
      <c r="B152" s="160" t="str">
        <f t="shared" si="31"/>
        <v/>
      </c>
      <c r="C152" s="472">
        <f>IF(D93="","-",+C151+1)</f>
        <v>2061</v>
      </c>
      <c r="D152" s="347">
        <f>IF(F151+SUM(E$99:E151)=D$92,F151,D$92-SUM(E$99:E151))</f>
        <v>0</v>
      </c>
      <c r="E152" s="486">
        <f>IF(+J96&lt;F151,J96,D152)</f>
        <v>0</v>
      </c>
      <c r="F152" s="485">
        <f t="shared" si="46"/>
        <v>0</v>
      </c>
      <c r="G152" s="485">
        <f t="shared" si="47"/>
        <v>0</v>
      </c>
      <c r="H152" s="486">
        <f t="shared" si="44"/>
        <v>0</v>
      </c>
      <c r="I152" s="542">
        <f t="shared" si="45"/>
        <v>0</v>
      </c>
      <c r="J152" s="478">
        <f t="shared" si="48"/>
        <v>0</v>
      </c>
      <c r="K152" s="478"/>
      <c r="L152" s="487"/>
      <c r="M152" s="478">
        <f t="shared" si="49"/>
        <v>0</v>
      </c>
      <c r="N152" s="487"/>
      <c r="O152" s="478">
        <f t="shared" si="50"/>
        <v>0</v>
      </c>
      <c r="P152" s="478">
        <f t="shared" si="51"/>
        <v>0</v>
      </c>
    </row>
    <row r="153" spans="2:16">
      <c r="B153" s="160" t="str">
        <f t="shared" si="31"/>
        <v/>
      </c>
      <c r="C153" s="472">
        <f>IF(D93="","-",+C152+1)</f>
        <v>2062</v>
      </c>
      <c r="D153" s="347">
        <f>IF(F152+SUM(E$99:E152)=D$92,F152,D$92-SUM(E$99:E152))</f>
        <v>0</v>
      </c>
      <c r="E153" s="486">
        <f>IF(+J96&lt;F152,J96,D153)</f>
        <v>0</v>
      </c>
      <c r="F153" s="485">
        <f t="shared" si="46"/>
        <v>0</v>
      </c>
      <c r="G153" s="485">
        <f t="shared" si="47"/>
        <v>0</v>
      </c>
      <c r="H153" s="486">
        <f t="shared" si="44"/>
        <v>0</v>
      </c>
      <c r="I153" s="542">
        <f t="shared" si="45"/>
        <v>0</v>
      </c>
      <c r="J153" s="478">
        <f t="shared" si="48"/>
        <v>0</v>
      </c>
      <c r="K153" s="478"/>
      <c r="L153" s="487"/>
      <c r="M153" s="478">
        <f t="shared" si="49"/>
        <v>0</v>
      </c>
      <c r="N153" s="487"/>
      <c r="O153" s="478">
        <f t="shared" si="50"/>
        <v>0</v>
      </c>
      <c r="P153" s="478">
        <f t="shared" si="51"/>
        <v>0</v>
      </c>
    </row>
    <row r="154" spans="2:16" ht="13.5" thickBot="1">
      <c r="B154" s="160" t="str">
        <f t="shared" si="31"/>
        <v/>
      </c>
      <c r="C154" s="489">
        <f>IF(D93="","-",+C153+1)</f>
        <v>2063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6"/>
        <v>0</v>
      </c>
      <c r="G154" s="490">
        <f t="shared" si="47"/>
        <v>0</v>
      </c>
      <c r="H154" s="492">
        <f t="shared" ref="H154" si="52">+J$94*G154+E154</f>
        <v>0</v>
      </c>
      <c r="I154" s="545">
        <f t="shared" ref="I154" si="53">+J$95*G154+E154</f>
        <v>0</v>
      </c>
      <c r="J154" s="495">
        <f t="shared" si="48"/>
        <v>0</v>
      </c>
      <c r="K154" s="478"/>
      <c r="L154" s="494"/>
      <c r="M154" s="495">
        <f t="shared" si="49"/>
        <v>0</v>
      </c>
      <c r="N154" s="494"/>
      <c r="O154" s="495">
        <f t="shared" si="50"/>
        <v>0</v>
      </c>
      <c r="P154" s="495">
        <f t="shared" si="51"/>
        <v>0</v>
      </c>
    </row>
    <row r="155" spans="2:16">
      <c r="C155" s="347" t="s">
        <v>77</v>
      </c>
      <c r="D155" s="348"/>
      <c r="E155" s="348">
        <f>SUM(E99:E154)</f>
        <v>1520502</v>
      </c>
      <c r="F155" s="348"/>
      <c r="G155" s="348"/>
      <c r="H155" s="348">
        <f>SUM(H99:H154)</f>
        <v>5699845.5221610274</v>
      </c>
      <c r="I155" s="348">
        <f>SUM(I99:I154)</f>
        <v>5699845.5221610274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>
      <c r="C157" s="546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>
      <c r="C158" s="563" t="s">
        <v>148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>
      <c r="C159" s="431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>
      <c r="C160" s="547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>
      <c r="C161" s="547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8">
      <c r="C162" s="547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3" t="s">
        <v>145</v>
      </c>
    </row>
  </sheetData>
  <phoneticPr fontId="0" type="noConversion"/>
  <conditionalFormatting sqref="C17:C72">
    <cfRule type="cellIs" dxfId="52" priority="1" stopIfTrue="1" operator="equal">
      <formula>$I$10</formula>
    </cfRule>
  </conditionalFormatting>
  <conditionalFormatting sqref="C99:C154">
    <cfRule type="cellIs" dxfId="5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My84LzIwMjIgMzoyMzoxO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MToyOToyMCBQTTwvRGF0ZVRpbWU+PExhYmVsU3RyaW5nPkFFUCBJbnRlcm5hb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C5F1F881-7F06-4AB5-9F41-E5D34AB4B29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F67A37F1-FBE2-4C2B-90F5-FF18F6B86DA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28</vt:i4>
      </vt:variant>
    </vt:vector>
  </HeadingPairs>
  <TitlesOfParts>
    <vt:vector size="61" baseType="lpstr">
      <vt:lpstr>PSO.Sch.11.Rates</vt:lpstr>
      <vt:lpstr>PSO.WS.F.BPU.ATRR.Projected</vt:lpstr>
      <vt:lpstr>PSO.WS.G.BPU.ATRR.True-up</vt:lpstr>
      <vt:lpstr>P.001</vt:lpstr>
      <vt:lpstr>P.002</vt:lpstr>
      <vt:lpstr>P.003</vt:lpstr>
      <vt:lpstr>P.004</vt:lpstr>
      <vt:lpstr>P.005</vt:lpstr>
      <vt:lpstr>P.006</vt:lpstr>
      <vt:lpstr>P.007</vt:lpstr>
      <vt:lpstr>P.008</vt:lpstr>
      <vt:lpstr>P.009</vt:lpstr>
      <vt:lpstr>P.010</vt:lpstr>
      <vt:lpstr>P.011</vt:lpstr>
      <vt:lpstr>P.012</vt:lpstr>
      <vt:lpstr>P.013</vt:lpstr>
      <vt:lpstr>P.014</vt:lpstr>
      <vt:lpstr>P.015</vt:lpstr>
      <vt:lpstr>P.016</vt:lpstr>
      <vt:lpstr>P.017</vt:lpstr>
      <vt:lpstr>P.018</vt:lpstr>
      <vt:lpstr>P.019</vt:lpstr>
      <vt:lpstr>P.020</vt:lpstr>
      <vt:lpstr>P.021</vt:lpstr>
      <vt:lpstr>P.022</vt:lpstr>
      <vt:lpstr>P.023</vt:lpstr>
      <vt:lpstr>P.024</vt:lpstr>
      <vt:lpstr>P.025</vt:lpstr>
      <vt:lpstr>P.026</vt:lpstr>
      <vt:lpstr>P.027</vt:lpstr>
      <vt:lpstr>P.028</vt:lpstr>
      <vt:lpstr>P.029</vt:lpstr>
      <vt:lpstr>P.xyz - blank</vt:lpstr>
      <vt:lpstr>P.001!Print_Area</vt:lpstr>
      <vt:lpstr>P.002!Print_Area</vt:lpstr>
      <vt:lpstr>P.003!Print_Area</vt:lpstr>
      <vt:lpstr>P.004!Print_Area</vt:lpstr>
      <vt:lpstr>P.005!Print_Area</vt:lpstr>
      <vt:lpstr>P.006!Print_Area</vt:lpstr>
      <vt:lpstr>P.007!Print_Area</vt:lpstr>
      <vt:lpstr>P.008!Print_Area</vt:lpstr>
      <vt:lpstr>P.009!Print_Area</vt:lpstr>
      <vt:lpstr>P.010!Print_Area</vt:lpstr>
      <vt:lpstr>P.011!Print_Area</vt:lpstr>
      <vt:lpstr>P.012!Print_Area</vt:lpstr>
      <vt:lpstr>P.013!Print_Area</vt:lpstr>
      <vt:lpstr>P.014!Print_Area</vt:lpstr>
      <vt:lpstr>P.015!Print_Area</vt:lpstr>
      <vt:lpstr>P.016!Print_Area</vt:lpstr>
      <vt:lpstr>P.017!Print_Area</vt:lpstr>
      <vt:lpstr>P.018!Print_Area</vt:lpstr>
      <vt:lpstr>P.019!Print_Area</vt:lpstr>
      <vt:lpstr>P.020!Print_Area</vt:lpstr>
      <vt:lpstr>P.021!Print_Area</vt:lpstr>
      <vt:lpstr>P.022!Print_Area</vt:lpstr>
      <vt:lpstr>'P.xyz - blank'!Print_Area</vt:lpstr>
      <vt:lpstr>PSO.Sch.11.Rates!Print_Area</vt:lpstr>
      <vt:lpstr>PSO.WS.F.BPU.ATRR.Projected!Print_Area</vt:lpstr>
      <vt:lpstr>'PSO.WS.G.BPU.ATRR.True-up'!Print_Area</vt:lpstr>
      <vt:lpstr>PSO.WS.F.BPU.ATRR.Projected!Print_Titles</vt:lpstr>
      <vt:lpstr>'PSO.WS.G.BPU.ATRR.True-up'!Print_Titles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R.Pennybaker</dc:creator>
  <cp:keywords/>
  <cp:lastModifiedBy>s177040</cp:lastModifiedBy>
  <cp:lastPrinted>2022-05-29T23:55:44Z</cp:lastPrinted>
  <dcterms:created xsi:type="dcterms:W3CDTF">2009-05-11T14:02:48Z</dcterms:created>
  <dcterms:modified xsi:type="dcterms:W3CDTF">2022-05-29T23:55:53Z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b2c80a7b-f289-41ae-b128-3b3f639b0f35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{C5F1F881-7F06-4AB5-9F41-E5D34AB4B292}</vt:lpwstr>
  </property>
</Properties>
</file>